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liantconsulting2025-my.sharepoint.com/personal/victormushava_reliantconsulting2025_onmicrosoft_com/Documents/Server/Partners/Public/Fetakgomo LM/Electrification Praktiseer Mogaba/Procurement/Praktiseer Mountain Square/"/>
    </mc:Choice>
  </mc:AlternateContent>
  <xr:revisionPtr revIDLastSave="74" documentId="13_ncr:1_{82D30A55-55C9-4FD3-876D-63185DA63B0A}" xr6:coauthVersionLast="47" xr6:coauthVersionMax="47" xr10:uidLastSave="{5537DCD3-345B-4377-A4C0-97CF913F6AAA}"/>
  <bookViews>
    <workbookView xWindow="-28920" yWindow="-120" windowWidth="29040" windowHeight="15720" activeTab="1" xr2:uid="{00000000-000D-0000-FFFF-FFFF00000000}"/>
  </bookViews>
  <sheets>
    <sheet name="SUMMARY  " sheetId="3" r:id="rId1"/>
    <sheet name="BOQ" sheetId="4" r:id="rId2"/>
  </sheets>
  <definedNames>
    <definedName name="_xlnm.Print_Area" localSheetId="1">BOQ!$B$1:$K$206</definedName>
    <definedName name="_xlnm.Print_Area" localSheetId="0">'SUMMARY  '!$B$1:$F$32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4" l="1"/>
  <c r="J7" i="4"/>
  <c r="K14" i="4"/>
  <c r="K13" i="4"/>
  <c r="J14" i="4"/>
  <c r="J13" i="4"/>
  <c r="H7" i="4"/>
  <c r="K7" i="4" s="1"/>
  <c r="H10" i="4"/>
  <c r="K10" i="4" s="1"/>
  <c r="J11" i="4"/>
  <c r="H11" i="4"/>
  <c r="K11" i="4" l="1"/>
  <c r="G184" i="4" l="1"/>
  <c r="H169" i="4"/>
  <c r="J169" i="4"/>
  <c r="K169" i="4" s="1"/>
  <c r="I15" i="4"/>
  <c r="J15" i="4"/>
  <c r="E123" i="4"/>
  <c r="E117" i="4"/>
  <c r="E111" i="4"/>
  <c r="E54" i="4"/>
  <c r="E49" i="4"/>
  <c r="E48" i="4"/>
  <c r="I169" i="4"/>
  <c r="E106" i="4"/>
  <c r="E105" i="4"/>
  <c r="E101" i="4"/>
  <c r="E99" i="4"/>
  <c r="E98" i="4"/>
  <c r="E97" i="4"/>
  <c r="E96" i="4"/>
  <c r="E94" i="4"/>
  <c r="E91" i="4"/>
  <c r="E89" i="4"/>
  <c r="E53" i="4"/>
  <c r="W183" i="4"/>
  <c r="K15" i="4" l="1"/>
  <c r="G175" i="4"/>
  <c r="W175" i="4"/>
  <c r="V56" i="4"/>
  <c r="E203" i="4"/>
  <c r="G203" i="4" s="1"/>
  <c r="G32" i="4"/>
  <c r="G29" i="4"/>
  <c r="G28" i="4"/>
  <c r="G27" i="4"/>
  <c r="G26" i="4"/>
  <c r="V84" i="4"/>
  <c r="E190" i="4"/>
  <c r="G190" i="4" s="1"/>
  <c r="I61" i="4" l="1"/>
  <c r="I62" i="4"/>
  <c r="I63" i="4"/>
  <c r="I64" i="4"/>
  <c r="I65" i="4"/>
  <c r="I66" i="4"/>
  <c r="I67" i="4"/>
  <c r="I68" i="4"/>
  <c r="I69" i="4"/>
  <c r="I70" i="4"/>
  <c r="I71" i="4"/>
  <c r="I72" i="4"/>
  <c r="I73" i="4"/>
  <c r="I60" i="4"/>
  <c r="E102" i="4"/>
  <c r="E90" i="4"/>
  <c r="E85" i="4"/>
  <c r="E84" i="4"/>
  <c r="E76" i="4"/>
  <c r="G38" i="4"/>
  <c r="G36" i="4"/>
  <c r="G33" i="4"/>
  <c r="G31" i="4"/>
  <c r="E107" i="4"/>
  <c r="E164" i="4"/>
  <c r="G39" i="4" l="1"/>
  <c r="E103" i="4"/>
  <c r="G43" i="4"/>
  <c r="E87" i="4"/>
  <c r="G37" i="4"/>
  <c r="G107" i="4"/>
  <c r="G34" i="4"/>
  <c r="G44" i="4"/>
  <c r="G45" i="4"/>
  <c r="G35" i="4"/>
  <c r="W48" i="4"/>
  <c r="I16" i="4"/>
  <c r="W171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8" i="4"/>
  <c r="W109" i="4"/>
  <c r="W110" i="4"/>
  <c r="W111" i="4"/>
  <c r="W112" i="4"/>
  <c r="W113" i="4"/>
  <c r="W114" i="4"/>
  <c r="W115" i="4"/>
  <c r="W116" i="4"/>
  <c r="W117" i="4"/>
  <c r="W118" i="4"/>
  <c r="W119" i="4"/>
  <c r="W120" i="4"/>
  <c r="W121" i="4"/>
  <c r="W122" i="4"/>
  <c r="W123" i="4"/>
  <c r="W124" i="4"/>
  <c r="W125" i="4"/>
  <c r="W126" i="4"/>
  <c r="W127" i="4"/>
  <c r="W128" i="4"/>
  <c r="W129" i="4"/>
  <c r="W130" i="4"/>
  <c r="W131" i="4"/>
  <c r="W132" i="4"/>
  <c r="W133" i="4"/>
  <c r="W134" i="4"/>
  <c r="W135" i="4"/>
  <c r="W136" i="4"/>
  <c r="W137" i="4"/>
  <c r="W138" i="4"/>
  <c r="W139" i="4"/>
  <c r="W140" i="4"/>
  <c r="W141" i="4"/>
  <c r="W142" i="4"/>
  <c r="W143" i="4"/>
  <c r="W144" i="4"/>
  <c r="W145" i="4"/>
  <c r="W146" i="4"/>
  <c r="W147" i="4"/>
  <c r="W148" i="4"/>
  <c r="W149" i="4"/>
  <c r="W150" i="4"/>
  <c r="W151" i="4"/>
  <c r="W152" i="4"/>
  <c r="W153" i="4"/>
  <c r="W154" i="4"/>
  <c r="W155" i="4"/>
  <c r="W156" i="4"/>
  <c r="W157" i="4"/>
  <c r="W158" i="4"/>
  <c r="W159" i="4"/>
  <c r="W160" i="4"/>
  <c r="W161" i="4"/>
  <c r="W162" i="4"/>
  <c r="W163" i="4"/>
  <c r="W164" i="4"/>
  <c r="W165" i="4"/>
  <c r="W166" i="4"/>
  <c r="W167" i="4"/>
  <c r="W168" i="4"/>
  <c r="W169" i="4"/>
  <c r="W170" i="4"/>
  <c r="W172" i="4"/>
  <c r="W173" i="4"/>
  <c r="W174" i="4"/>
  <c r="W176" i="4"/>
  <c r="W177" i="4"/>
  <c r="W178" i="4"/>
  <c r="W179" i="4"/>
  <c r="W180" i="4"/>
  <c r="W181" i="4"/>
  <c r="W182" i="4"/>
  <c r="W184" i="4"/>
  <c r="W185" i="4"/>
  <c r="W186" i="4"/>
  <c r="W187" i="4"/>
  <c r="W188" i="4"/>
  <c r="W189" i="4"/>
  <c r="W190" i="4"/>
  <c r="W49" i="4"/>
  <c r="W50" i="4"/>
  <c r="J16" i="4"/>
  <c r="K16" i="4" l="1"/>
  <c r="G48" i="4"/>
  <c r="G183" i="4" l="1"/>
  <c r="G182" i="4" l="1"/>
  <c r="E151" i="4" l="1"/>
  <c r="E152" i="4" l="1"/>
  <c r="G160" i="4"/>
  <c r="E153" i="4" l="1"/>
  <c r="E145" i="4"/>
  <c r="G117" i="4" l="1"/>
  <c r="G50" i="4" l="1"/>
  <c r="G51" i="4"/>
  <c r="G52" i="4"/>
  <c r="G55" i="4"/>
  <c r="G56" i="4"/>
  <c r="G194" i="4" l="1"/>
  <c r="G54" i="4"/>
  <c r="G53" i="4"/>
  <c r="E161" i="4" l="1"/>
  <c r="G193" i="4"/>
  <c r="G49" i="4" l="1"/>
  <c r="G115" i="4"/>
  <c r="G189" i="4" l="1"/>
  <c r="G188" i="4"/>
  <c r="G187" i="4"/>
  <c r="G186" i="4"/>
  <c r="G185" i="4"/>
  <c r="G181" i="4"/>
  <c r="G180" i="4"/>
  <c r="G179" i="4"/>
  <c r="G176" i="4"/>
  <c r="G173" i="4"/>
  <c r="G172" i="4"/>
  <c r="G168" i="4"/>
  <c r="G167" i="4"/>
  <c r="G166" i="4"/>
  <c r="G165" i="4"/>
  <c r="G164" i="4"/>
  <c r="G161" i="4"/>
  <c r="G157" i="4"/>
  <c r="G156" i="4"/>
  <c r="G153" i="4"/>
  <c r="G152" i="4"/>
  <c r="G151" i="4"/>
  <c r="G148" i="4"/>
  <c r="G147" i="4"/>
  <c r="G146" i="4"/>
  <c r="G145" i="4"/>
  <c r="G144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6" i="4"/>
  <c r="G125" i="4"/>
  <c r="G124" i="4"/>
  <c r="G123" i="4"/>
  <c r="G122" i="4"/>
  <c r="G121" i="4"/>
  <c r="G120" i="4"/>
  <c r="G119" i="4"/>
  <c r="G118" i="4"/>
  <c r="G116" i="4"/>
  <c r="G112" i="4"/>
  <c r="G111" i="4"/>
  <c r="G108" i="4"/>
  <c r="G106" i="4"/>
  <c r="G105" i="4"/>
  <c r="G102" i="4"/>
  <c r="G101" i="4"/>
  <c r="G100" i="4"/>
  <c r="G99" i="4"/>
  <c r="G98" i="4"/>
  <c r="G97" i="4"/>
  <c r="G96" i="4"/>
  <c r="G95" i="4"/>
  <c r="G94" i="4"/>
  <c r="G91" i="4"/>
  <c r="G90" i="4"/>
  <c r="G89" i="4"/>
  <c r="G86" i="4"/>
  <c r="G85" i="4"/>
  <c r="G84" i="4"/>
  <c r="G83" i="4"/>
  <c r="G82" i="4"/>
  <c r="G81" i="4"/>
  <c r="G80" i="4"/>
  <c r="G79" i="4"/>
  <c r="G78" i="4"/>
  <c r="G77" i="4"/>
  <c r="G76" i="4"/>
  <c r="G75" i="4"/>
  <c r="G73" i="4"/>
  <c r="J73" i="4" s="1"/>
  <c r="K73" i="4" s="1"/>
  <c r="G72" i="4"/>
  <c r="J72" i="4" s="1"/>
  <c r="K72" i="4" s="1"/>
  <c r="G71" i="4"/>
  <c r="J71" i="4" s="1"/>
  <c r="K71" i="4" s="1"/>
  <c r="G70" i="4"/>
  <c r="J70" i="4" s="1"/>
  <c r="K70" i="4" s="1"/>
  <c r="G69" i="4"/>
  <c r="J69" i="4" s="1"/>
  <c r="K69" i="4" s="1"/>
  <c r="G68" i="4"/>
  <c r="J68" i="4" s="1"/>
  <c r="K68" i="4" s="1"/>
  <c r="G67" i="4"/>
  <c r="J67" i="4" s="1"/>
  <c r="K67" i="4" s="1"/>
  <c r="G66" i="4"/>
  <c r="J66" i="4" s="1"/>
  <c r="K66" i="4" s="1"/>
  <c r="G65" i="4"/>
  <c r="J65" i="4" s="1"/>
  <c r="K65" i="4" s="1"/>
  <c r="G64" i="4"/>
  <c r="J64" i="4" s="1"/>
  <c r="K64" i="4" s="1"/>
  <c r="G63" i="4"/>
  <c r="J63" i="4" s="1"/>
  <c r="K63" i="4" s="1"/>
  <c r="G62" i="4"/>
  <c r="J62" i="4" s="1"/>
  <c r="K62" i="4" s="1"/>
  <c r="G61" i="4"/>
  <c r="J61" i="4" s="1"/>
  <c r="K61" i="4" s="1"/>
  <c r="G60" i="4"/>
  <c r="J60" i="4" s="1"/>
  <c r="K60" i="4" s="1"/>
</calcChain>
</file>

<file path=xl/sharedStrings.xml><?xml version="1.0" encoding="utf-8"?>
<sst xmlns="http://schemas.openxmlformats.org/spreadsheetml/2006/main" count="625" uniqueCount="251">
  <si>
    <t>Item</t>
  </si>
  <si>
    <t>Description</t>
  </si>
  <si>
    <t>Unit</t>
  </si>
  <si>
    <t>MQty</t>
  </si>
  <si>
    <t>MRate</t>
  </si>
  <si>
    <t>LQty</t>
  </si>
  <si>
    <t>LRate</t>
  </si>
  <si>
    <t>Mtotal</t>
  </si>
  <si>
    <t>Ltotal</t>
  </si>
  <si>
    <t xml:space="preserve">Total </t>
  </si>
  <si>
    <t>A</t>
  </si>
  <si>
    <t>Site Camp, Store, personnel, rental, transport, name board etc</t>
  </si>
  <si>
    <t>Sum</t>
  </si>
  <si>
    <t>Month</t>
  </si>
  <si>
    <t xml:space="preserve">Payment of worker for entry and exit medical testing </t>
  </si>
  <si>
    <t>Payment of Security</t>
  </si>
  <si>
    <t>Compliance with OHS ACT incl. Safety File and safety instructions</t>
  </si>
  <si>
    <t>SUB-TOTAL</t>
  </si>
  <si>
    <t>B</t>
  </si>
  <si>
    <t>Pegging out the works</t>
  </si>
  <si>
    <t xml:space="preserve"> LRate </t>
  </si>
  <si>
    <t xml:space="preserve">MV Pegging  </t>
  </si>
  <si>
    <t>M</t>
  </si>
  <si>
    <t xml:space="preserve">LV Pegging  </t>
  </si>
  <si>
    <t xml:space="preserve">AS-Built drawing by surveyor  </t>
  </si>
  <si>
    <t>Bush Clearing and Tree Felling</t>
  </si>
  <si>
    <t>m</t>
  </si>
  <si>
    <t>C</t>
  </si>
  <si>
    <t>Digging Holes</t>
  </si>
  <si>
    <t>1A</t>
  </si>
  <si>
    <t>LV stay back-actor or hand</t>
  </si>
  <si>
    <t>e.a.</t>
  </si>
  <si>
    <t>1B</t>
  </si>
  <si>
    <t>Rock Drill</t>
  </si>
  <si>
    <t>1C</t>
  </si>
  <si>
    <t>Compressors</t>
  </si>
  <si>
    <t>2A</t>
  </si>
  <si>
    <t>MV stay back-actor or hand</t>
  </si>
  <si>
    <t>2B</t>
  </si>
  <si>
    <t>2C</t>
  </si>
  <si>
    <t>3A</t>
  </si>
  <si>
    <t>3B</t>
  </si>
  <si>
    <t>3C</t>
  </si>
  <si>
    <t>4A</t>
  </si>
  <si>
    <t>4B</t>
  </si>
  <si>
    <t>4C</t>
  </si>
  <si>
    <t>5A</t>
  </si>
  <si>
    <t>10m Pole back-actor or hand</t>
  </si>
  <si>
    <t>5B</t>
  </si>
  <si>
    <t>5C</t>
  </si>
  <si>
    <t>6A</t>
  </si>
  <si>
    <t>11m Pole back-actor or hand</t>
  </si>
  <si>
    <t>6B</t>
  </si>
  <si>
    <t>6C</t>
  </si>
  <si>
    <t>D</t>
  </si>
  <si>
    <t>Plant poles</t>
  </si>
  <si>
    <t xml:space="preserve"> 7m Wood 120-140mm tops</t>
  </si>
  <si>
    <t xml:space="preserve"> 9m Wood 140-160mm tops</t>
  </si>
  <si>
    <t>10m Wood 160-180mm tops</t>
  </si>
  <si>
    <t>10m Wood 180-200mm tops</t>
  </si>
  <si>
    <t>11m Wood 160-180mm tops</t>
  </si>
  <si>
    <t>11m Wood 180-200mm tops</t>
  </si>
  <si>
    <t>13m Wood 180-200mm tops</t>
  </si>
  <si>
    <t>E</t>
  </si>
  <si>
    <t>DUAL  PHASE</t>
  </si>
  <si>
    <t>Int ass delta 0 deg</t>
  </si>
  <si>
    <t>Int ass vertical (1-10 deg)</t>
  </si>
  <si>
    <t>Int ass stag vertical ( 0 deg )</t>
  </si>
  <si>
    <t>Strain ass delta (0-30 deg)</t>
  </si>
  <si>
    <t>Strain ass delta (30-90 deg)</t>
  </si>
  <si>
    <t>Terminal delta</t>
  </si>
  <si>
    <t>T-off ass int-delta</t>
  </si>
  <si>
    <t>T-off ass str-delta</t>
  </si>
  <si>
    <t>T-off ass int vert</t>
  </si>
  <si>
    <t>Susp ass vert (10-30 deg)</t>
  </si>
  <si>
    <t>Strain ass vertical ( 30-90 deg )</t>
  </si>
  <si>
    <t>Terminal ass vert</t>
  </si>
  <si>
    <t>In-line strain vert</t>
  </si>
  <si>
    <t>T-off ass strain vert</t>
  </si>
  <si>
    <t>THREE  PHASE</t>
  </si>
  <si>
    <t>F</t>
  </si>
  <si>
    <t>1 Off conv anchor</t>
  </si>
  <si>
    <t>1 Off flying stay</t>
  </si>
  <si>
    <t>1 Off strut pole 9m</t>
  </si>
  <si>
    <t>G</t>
  </si>
  <si>
    <t>LV Structures</t>
  </si>
  <si>
    <t>Int / susp (0-30 deg)</t>
  </si>
  <si>
    <t>Intermediate service</t>
  </si>
  <si>
    <t>Strain (0-60 deg)</t>
  </si>
  <si>
    <t>Strain (60-90 deg)</t>
  </si>
  <si>
    <t>Terminal</t>
  </si>
  <si>
    <t>T-off from interm</t>
  </si>
  <si>
    <t>T-off from strain</t>
  </si>
  <si>
    <t>Cross int-int ass</t>
  </si>
  <si>
    <t>H</t>
  </si>
  <si>
    <t>I</t>
  </si>
  <si>
    <t>Service Boxes</t>
  </si>
  <si>
    <t>5 - 8 Way Split Meter box : 2 x 63 A mcb</t>
  </si>
  <si>
    <t>J</t>
  </si>
  <si>
    <t>Stringing</t>
  </si>
  <si>
    <t>Squirrel conductor</t>
  </si>
  <si>
    <t>Fox conductor</t>
  </si>
  <si>
    <t>Mink conductor</t>
  </si>
  <si>
    <t>35 mm sq ABC 1-ph</t>
  </si>
  <si>
    <t>35 mm sq ABC 2- ph</t>
  </si>
  <si>
    <t>35 mm sq ABC 3-ph</t>
  </si>
  <si>
    <t>70 mm sq ABC  1-ph</t>
  </si>
  <si>
    <t>70 mm sq ABC  2-ph</t>
  </si>
  <si>
    <t>70 mm sq ABC  3-ph</t>
  </si>
  <si>
    <t>LV joint 35 mm full tension</t>
  </si>
  <si>
    <t>LV joint 70 mm full tension</t>
  </si>
  <si>
    <t>K</t>
  </si>
  <si>
    <t>Transformer Installation</t>
  </si>
  <si>
    <t>200kVA x 3 Ph (1 off) - relocate</t>
  </si>
  <si>
    <t>ea</t>
  </si>
  <si>
    <t>200kVA x 3 Ph (1 off) - new</t>
  </si>
  <si>
    <t>100kVA x 3 Ph (2 off) - relocate</t>
  </si>
  <si>
    <t>100kVA x 3 Ph (2 off) - new</t>
  </si>
  <si>
    <t>50kVA x 3 Ph (0 off) - relocate</t>
  </si>
  <si>
    <t>50kVA x 3 Ph (0 off) - new</t>
  </si>
  <si>
    <t>32kVA x 2 Ph (0 off) - relocate</t>
  </si>
  <si>
    <t>32kVA x 2 Ph (0 off) - new</t>
  </si>
  <si>
    <t>25kVA x 3 Ph (0 off) - relocate</t>
  </si>
  <si>
    <t>25kVA x 3 Ph (0 off) - new</t>
  </si>
  <si>
    <t>16kVA x 1 Ph (1 off) - relocate</t>
  </si>
  <si>
    <t>16kVA x 1 Ph (1 off) - new</t>
  </si>
  <si>
    <t>L</t>
  </si>
  <si>
    <t>LV Protection Morsdorf type fuses</t>
  </si>
  <si>
    <t xml:space="preserve"> 80A Dual phase (32kVA)</t>
  </si>
  <si>
    <t xml:space="preserve"> 80A Three phase (50kVA)</t>
  </si>
  <si>
    <t>125A</t>
  </si>
  <si>
    <t>Installation Earthing</t>
  </si>
  <si>
    <t>MV Earthing (Type 1 crowfoot)</t>
  </si>
  <si>
    <t>LV Earthing (Type 1 crowfoot)</t>
  </si>
  <si>
    <t>Bonding</t>
  </si>
  <si>
    <t>N</t>
  </si>
  <si>
    <t>Pole Numbering</t>
  </si>
  <si>
    <t>MV pole number</t>
  </si>
  <si>
    <t>LV pole number</t>
  </si>
  <si>
    <t>O</t>
  </si>
  <si>
    <t>Commissioning</t>
  </si>
  <si>
    <t>Test &amp; commission trsf and MV equipment</t>
  </si>
  <si>
    <t>P</t>
  </si>
  <si>
    <t>Sample line /Material Board</t>
  </si>
  <si>
    <t>sum</t>
  </si>
  <si>
    <t>Live Work (Number of T-Offs)</t>
  </si>
  <si>
    <t>Remove existing Transformer</t>
  </si>
  <si>
    <t>Ant-climbing device</t>
  </si>
  <si>
    <t>Tree felling (trunk diameter &gt; 300mm)</t>
  </si>
  <si>
    <t>Q</t>
  </si>
  <si>
    <t>House Connections</t>
  </si>
  <si>
    <t xml:space="preserve">Underground connection </t>
  </si>
  <si>
    <t>Overhead  connection</t>
  </si>
  <si>
    <t>Supply ECU base, fixing rails and plug</t>
  </si>
  <si>
    <t>Sealing of meters</t>
  </si>
  <si>
    <t>COC Certificate ECA version</t>
  </si>
  <si>
    <t>Supply and install additional 63A circuit breaker</t>
  </si>
  <si>
    <t>Supply and Install and wire 63A curve-2 cb to a split pp meter</t>
  </si>
  <si>
    <t xml:space="preserve">Capture and submit list of customers name and surname stand no meter no and contact no </t>
  </si>
  <si>
    <t>R</t>
  </si>
  <si>
    <t>Excavate and plant shack poles</t>
  </si>
  <si>
    <t>5m Wood 120-140 mm tops</t>
  </si>
  <si>
    <t>Hand Excavate Cable trench -house connection</t>
  </si>
  <si>
    <t xml:space="preserve">Hand Excavate Cable trench-Road Crossing </t>
  </si>
  <si>
    <t>Install Cable Sleeves 110mm</t>
  </si>
  <si>
    <t>S</t>
  </si>
  <si>
    <t>LV Conductor ( Supply Cable)</t>
  </si>
  <si>
    <t>4mm sq Airdac SNE plus Pilot wires</t>
  </si>
  <si>
    <t xml:space="preserve"> Amount </t>
  </si>
  <si>
    <t>Materials</t>
  </si>
  <si>
    <t>Labour</t>
  </si>
  <si>
    <t>Total Price</t>
  </si>
  <si>
    <t>Preliminaries &amp; General</t>
  </si>
  <si>
    <t>LV Protection</t>
  </si>
  <si>
    <t>LV Conductor (Supply Cable)</t>
  </si>
  <si>
    <t xml:space="preserve">SUB TOTAL 1 </t>
  </si>
  <si>
    <t>15% VAT</t>
  </si>
  <si>
    <t>KM</t>
  </si>
  <si>
    <t xml:space="preserve">Supply and mount readyboard </t>
  </si>
  <si>
    <t xml:space="preserve">Transformers:   22kV </t>
  </si>
  <si>
    <t>TOTAL</t>
  </si>
  <si>
    <t xml:space="preserve"> 9m Wood  180-200 mm tops</t>
  </si>
  <si>
    <t>1 Off strut pole 11m</t>
  </si>
  <si>
    <t>1 Off strut pole 12m</t>
  </si>
  <si>
    <t>MV mINK full tension joint</t>
  </si>
  <si>
    <t>12m Wood 160-180mm tops</t>
  </si>
  <si>
    <t>Int ass stag vertical ( 30-90 deg )3ph</t>
  </si>
  <si>
    <t xml:space="preserve">ABC 3Ph Terminations at Tfr
</t>
  </si>
  <si>
    <t>1D</t>
  </si>
  <si>
    <t xml:space="preserve">LV 9m Strut Poles Rock Drill </t>
  </si>
  <si>
    <t xml:space="preserve">LV 11m Strut Poles Rock Drill </t>
  </si>
  <si>
    <t>LV stay  Rock Drill</t>
  </si>
  <si>
    <t>LV stay  Compressors</t>
  </si>
  <si>
    <t>MV stay Rock Drill</t>
  </si>
  <si>
    <t>7m Pole back-actor or hand</t>
  </si>
  <si>
    <t>9m Pole back-actor or hand</t>
  </si>
  <si>
    <t>9m Pole Rock Drill</t>
  </si>
  <si>
    <t>11m Pole Compressors</t>
  </si>
  <si>
    <t>7m Pole Rock Drill</t>
  </si>
  <si>
    <t>7m Pole Compressors</t>
  </si>
  <si>
    <t>9m Pole Compressors</t>
  </si>
  <si>
    <t>10m Pole Rock Drill</t>
  </si>
  <si>
    <t>10m Pole Compressors</t>
  </si>
  <si>
    <t>11m Pole Rock Drill</t>
  </si>
  <si>
    <t>MV 12m Strut Pole Rock Drill</t>
  </si>
  <si>
    <t>Plant Poles</t>
  </si>
  <si>
    <t>MV Anchors</t>
  </si>
  <si>
    <t>LV Anchors</t>
  </si>
  <si>
    <t>Strain ass vertical (30-90 deg) D-DT-1715</t>
  </si>
  <si>
    <t>T-off ass int vert D-DT-1801</t>
  </si>
  <si>
    <t>Terminal ass vert D-DT-1716</t>
  </si>
  <si>
    <t>Other Material &amp; Auto Recloser</t>
  </si>
  <si>
    <t>Modem Unit including Vodacom Start Pack and the necessary associated telecomunication cables, connectors and accessories to enable full functionality</t>
  </si>
  <si>
    <t>Test &amp; commission of Auto-Recloser Unit</t>
  </si>
  <si>
    <t>160A Three phase (100kVA)</t>
  </si>
  <si>
    <t xml:space="preserve"> 80A Single Phase</t>
  </si>
  <si>
    <t>Solid Sectional Links  3 Phase D-DT-1848</t>
  </si>
  <si>
    <t>Fused Links 3  Phase D-DT-1849</t>
  </si>
  <si>
    <t>Fused Links  Dual  Phase D-DT-1849</t>
  </si>
  <si>
    <t>CONTINGENCY @10%</t>
  </si>
  <si>
    <t>6mm sq Airdac SNE plus Pilot wires</t>
  </si>
  <si>
    <t>Upgrade existing MV line  from Dual to 3 Phase</t>
  </si>
  <si>
    <t>Dismantle existing MV line Including Removal of poles</t>
  </si>
  <si>
    <t>Supply Din Rail Single Phase PLC Smart Split Meter with CIU  20A with  Keypad (Meters to be Purchased from Eskom)</t>
  </si>
  <si>
    <t>Interface : DC450 G3: PLC DC;230V (To be Purchased from Eskom)</t>
  </si>
  <si>
    <t>KIOSK METER: 3PH;RAT/DC SECURE POLE MOUNT</t>
  </si>
  <si>
    <t>PPE for Local Labourers (20)</t>
  </si>
  <si>
    <t>Training for EPWP by an Accreditated Institute as Approved by the Engineer (Provisional Amount)</t>
  </si>
  <si>
    <t>Prov Sum</t>
  </si>
  <si>
    <t>Int ass vertical (0-10 deg) D-DT-1710</t>
  </si>
  <si>
    <t>Int ass stag vertical ( 10 -30 deg ) D-DT-1712</t>
  </si>
  <si>
    <t>,</t>
  </si>
  <si>
    <t>Allow for Provisional amount for Supply &amp; Installation Auto Recloser 22kV 400A 8kA complete with IRTU</t>
  </si>
  <si>
    <t>Allow for Provisional amount for Supply &amp; Installation of 22kV 200A 32 step closed delta Voltage Regulator and control box.</t>
  </si>
  <si>
    <t>MV Structures Three Phase</t>
  </si>
  <si>
    <t>MV Structures</t>
  </si>
  <si>
    <t xml:space="preserve">1 flying Stay </t>
  </si>
  <si>
    <t>BILLS OF QUANTITIES ELECTRIFICATION OF PRAKTISEER MOUNTAIN SQUARE</t>
  </si>
  <si>
    <t>SUMMARY ELECTRIFICATION OF PRAKTISEER MOUNTAIN SQUARE</t>
  </si>
  <si>
    <t>NUMBER OF STANDS /CONNECTIONS (1009)</t>
  </si>
  <si>
    <r>
      <t xml:space="preserve">Payment of CLO @ R6000 per month  </t>
    </r>
    <r>
      <rPr>
        <b/>
        <sz val="11"/>
        <color theme="1"/>
        <rFont val="Arial"/>
        <family val="2"/>
      </rPr>
      <t>(Provisional Amount)</t>
    </r>
  </si>
  <si>
    <t xml:space="preserve">SUB TOTAL 2 </t>
  </si>
  <si>
    <t>TOTAL CONSTRUCTION AMOUNT</t>
  </si>
  <si>
    <t>Allowances for the Provision of Perfomance Gurantee &amp; Works Insurance for the full project duration</t>
  </si>
  <si>
    <t>Engineer's Facilities  (Provisional Sum) to be utilised as Directed &amp;  Approved by the Engineer</t>
  </si>
  <si>
    <t xml:space="preserve">6  Way Split Meter box : 1 x 50 A mcb </t>
  </si>
  <si>
    <t>Supply ,Excavate and plant shack poles</t>
  </si>
  <si>
    <r>
      <t>EPWP Salary(20 labours for  6 Months) ((</t>
    </r>
    <r>
      <rPr>
        <b/>
        <sz val="11"/>
        <rFont val="Arial"/>
        <family val="2"/>
      </rPr>
      <t>Provisional Amount</t>
    </r>
    <r>
      <rPr>
        <sz val="11"/>
        <rFont val="Arial"/>
        <family val="2"/>
      </rPr>
      <t>)</t>
    </r>
  </si>
  <si>
    <r>
      <t xml:space="preserve">Payment of PSC Members - 7 members  x Duration </t>
    </r>
    <r>
      <rPr>
        <b/>
        <sz val="11"/>
        <color theme="1"/>
        <rFont val="Arial"/>
        <family val="2"/>
      </rPr>
      <t>(Provisional Amount)</t>
    </r>
  </si>
  <si>
    <t>Occupational Health and Safety consultant</t>
  </si>
  <si>
    <t>Social Facilitation Consultant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</si>
</sst>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&quot;R&quot;\ #,##0.00"/>
    <numFmt numFmtId="167" formatCode="_ &quot;€&quot;\ * #,##0.00_ ;_ &quot;€&quot;\ * \-#,##0.00_ ;_ &quot;€&quot;\ * &quot;-&quot;??_ ;_ @_ "/>
    <numFmt numFmtId="168" formatCode="&quot;R&quot;#,##0.00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sz val="11"/>
      <color theme="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indexed="12"/>
      <name val="Arial"/>
      <family val="2"/>
    </font>
    <font>
      <b/>
      <sz val="11"/>
      <color theme="4" tint="-0.249977111117893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8" fillId="5" borderId="0" applyNumberFormat="0" applyBorder="0" applyAlignment="0" applyProtection="0"/>
    <xf numFmtId="0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258">
    <xf numFmtId="0" fontId="0" fillId="0" borderId="0" xfId="0"/>
    <xf numFmtId="0" fontId="1" fillId="0" borderId="0" xfId="0" applyFont="1" applyAlignment="1">
      <alignment vertical="center"/>
    </xf>
    <xf numFmtId="166" fontId="0" fillId="0" borderId="0" xfId="0" applyNumberFormat="1"/>
    <xf numFmtId="0" fontId="0" fillId="0" borderId="0" xfId="0" applyAlignment="1">
      <alignment wrapText="1"/>
    </xf>
    <xf numFmtId="1" fontId="0" fillId="0" borderId="0" xfId="0" applyNumberFormat="1"/>
    <xf numFmtId="0" fontId="3" fillId="0" borderId="0" xfId="0" applyFont="1"/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6" fontId="9" fillId="0" borderId="0" xfId="0" applyNumberFormat="1" applyFont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166" fontId="13" fillId="2" borderId="5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6" fontId="13" fillId="0" borderId="5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39" fontId="14" fillId="4" borderId="13" xfId="3" applyNumberFormat="1" applyFont="1" applyFill="1" applyBorder="1" applyAlignment="1">
      <alignment horizontal="center"/>
    </xf>
    <xf numFmtId="39" fontId="14" fillId="4" borderId="14" xfId="3" applyNumberFormat="1" applyFont="1" applyFill="1" applyBorder="1" applyAlignment="1">
      <alignment horizontal="center"/>
    </xf>
    <xf numFmtId="39" fontId="13" fillId="4" borderId="15" xfId="3" applyNumberFormat="1" applyFont="1" applyFill="1" applyBorder="1" applyAlignment="1">
      <alignment horizontal="center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166" fontId="14" fillId="0" borderId="6" xfId="0" applyNumberFormat="1" applyFont="1" applyBorder="1" applyAlignment="1">
      <alignment horizontal="center" vertical="center"/>
    </xf>
    <xf numFmtId="39" fontId="14" fillId="4" borderId="2" xfId="2" applyNumberFormat="1" applyFont="1" applyFill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166" fontId="14" fillId="0" borderId="5" xfId="0" applyNumberFormat="1" applyFont="1" applyBorder="1" applyAlignment="1">
      <alignment horizontal="center" vertical="center"/>
    </xf>
    <xf numFmtId="166" fontId="11" fillId="0" borderId="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justify" vertical="center" wrapText="1"/>
    </xf>
    <xf numFmtId="39" fontId="15" fillId="4" borderId="1" xfId="2" applyNumberFormat="1" applyFont="1" applyFill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justify" vertical="center" wrapText="1"/>
    </xf>
    <xf numFmtId="1" fontId="13" fillId="0" borderId="5" xfId="0" applyNumberFormat="1" applyFont="1" applyBorder="1" applyAlignment="1">
      <alignment horizontal="center" vertical="center"/>
    </xf>
    <xf numFmtId="39" fontId="13" fillId="4" borderId="13" xfId="2" quotePrefix="1" applyNumberFormat="1" applyFont="1" applyFill="1" applyBorder="1" applyAlignment="1">
      <alignment horizontal="center"/>
    </xf>
    <xf numFmtId="39" fontId="15" fillId="4" borderId="4" xfId="2" applyNumberFormat="1" applyFont="1" applyFill="1" applyBorder="1" applyAlignment="1">
      <alignment horizontal="center"/>
    </xf>
    <xf numFmtId="39" fontId="14" fillId="4" borderId="5" xfId="2" applyNumberFormat="1" applyFont="1" applyFill="1" applyBorder="1" applyAlignment="1">
      <alignment horizontal="center"/>
    </xf>
    <xf numFmtId="1" fontId="13" fillId="4" borderId="13" xfId="5" quotePrefix="1" applyNumberFormat="1" applyFont="1" applyFill="1" applyBorder="1" applyAlignment="1">
      <alignment horizontal="center"/>
    </xf>
    <xf numFmtId="39" fontId="14" fillId="4" borderId="13" xfId="2" applyNumberFormat="1" applyFont="1" applyFill="1" applyBorder="1" applyAlignment="1">
      <alignment horizontal="center"/>
    </xf>
    <xf numFmtId="39" fontId="13" fillId="4" borderId="15" xfId="2" applyNumberFormat="1" applyFont="1" applyFill="1" applyBorder="1" applyAlignment="1">
      <alignment horizontal="center"/>
    </xf>
    <xf numFmtId="1" fontId="13" fillId="4" borderId="16" xfId="5" quotePrefix="1" applyNumberFormat="1" applyFont="1" applyFill="1" applyBorder="1" applyAlignment="1">
      <alignment horizontal="center"/>
    </xf>
    <xf numFmtId="166" fontId="14" fillId="0" borderId="3" xfId="0" applyNumberFormat="1" applyFont="1" applyBorder="1" applyAlignment="1">
      <alignment horizontal="center" vertical="center"/>
    </xf>
    <xf numFmtId="166" fontId="11" fillId="2" borderId="5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6" fillId="0" borderId="4" xfId="0" applyFont="1" applyBorder="1"/>
    <xf numFmtId="39" fontId="13" fillId="4" borderId="13" xfId="2" applyNumberFormat="1" applyFont="1" applyFill="1" applyBorder="1" applyAlignment="1">
      <alignment horizontal="center"/>
    </xf>
    <xf numFmtId="165" fontId="13" fillId="4" borderId="13" xfId="1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1" fontId="13" fillId="0" borderId="7" xfId="0" applyNumberFormat="1" applyFont="1" applyBorder="1" applyAlignment="1">
      <alignment horizontal="center" vertical="center"/>
    </xf>
    <xf numFmtId="0" fontId="12" fillId="2" borderId="5" xfId="0" applyFont="1" applyFill="1" applyBorder="1" applyAlignment="1">
      <alignment horizontal="justify" vertical="center" wrapText="1"/>
    </xf>
    <xf numFmtId="0" fontId="12" fillId="2" borderId="5" xfId="0" applyFont="1" applyFill="1" applyBorder="1" applyAlignment="1">
      <alignment horizontal="center" vertical="center"/>
    </xf>
    <xf numFmtId="166" fontId="13" fillId="0" borderId="7" xfId="0" applyNumberFormat="1" applyFont="1" applyBorder="1" applyAlignment="1">
      <alignment horizontal="center" vertical="center"/>
    </xf>
    <xf numFmtId="166" fontId="11" fillId="2" borderId="6" xfId="0" applyNumberFormat="1" applyFont="1" applyFill="1" applyBorder="1" applyAlignment="1">
      <alignment horizontal="center" vertical="center"/>
    </xf>
    <xf numFmtId="166" fontId="12" fillId="0" borderId="4" xfId="0" applyNumberFormat="1" applyFont="1" applyBorder="1" applyAlignment="1">
      <alignment horizontal="center" vertical="center"/>
    </xf>
    <xf numFmtId="0" fontId="13" fillId="2" borderId="5" xfId="0" applyFont="1" applyFill="1" applyBorder="1" applyAlignment="1">
      <alignment horizontal="justify" vertical="center" wrapText="1"/>
    </xf>
    <xf numFmtId="0" fontId="12" fillId="0" borderId="5" xfId="0" applyFont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39" fontId="14" fillId="4" borderId="16" xfId="2" applyNumberFormat="1" applyFont="1" applyFill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66" fontId="14" fillId="0" borderId="7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center" vertical="center"/>
    </xf>
    <xf numFmtId="166" fontId="13" fillId="0" borderId="1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12" fillId="0" borderId="5" xfId="0" applyFont="1" applyBorder="1" applyAlignment="1">
      <alignment horizontal="left" vertical="center" wrapText="1"/>
    </xf>
    <xf numFmtId="164" fontId="13" fillId="4" borderId="13" xfId="2" applyFont="1" applyFill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3" fillId="4" borderId="13" xfId="5" applyFont="1" applyFill="1" applyBorder="1" applyAlignment="1">
      <alignment horizontal="justify"/>
    </xf>
    <xf numFmtId="0" fontId="13" fillId="4" borderId="16" xfId="5" applyFont="1" applyFill="1" applyBorder="1" applyAlignment="1">
      <alignment horizontal="center"/>
    </xf>
    <xf numFmtId="39" fontId="15" fillId="4" borderId="1" xfId="2" applyNumberFormat="1" applyFont="1" applyFill="1" applyBorder="1" applyAlignment="1">
      <alignment horizontal="center" vertical="center"/>
    </xf>
    <xf numFmtId="164" fontId="13" fillId="2" borderId="5" xfId="2" applyFont="1" applyFill="1" applyBorder="1" applyAlignment="1">
      <alignment horizontal="center" vertical="center"/>
    </xf>
    <xf numFmtId="164" fontId="11" fillId="2" borderId="5" xfId="2" applyFont="1" applyFill="1" applyBorder="1" applyAlignment="1">
      <alignment horizontal="center" vertical="center"/>
    </xf>
    <xf numFmtId="164" fontId="11" fillId="2" borderId="6" xfId="2" applyFont="1" applyFill="1" applyBorder="1" applyAlignment="1">
      <alignment horizontal="center" vertical="center"/>
    </xf>
    <xf numFmtId="164" fontId="12" fillId="2" borderId="4" xfId="2" applyFont="1" applyFill="1" applyBorder="1" applyAlignment="1">
      <alignment horizontal="center" vertical="center"/>
    </xf>
    <xf numFmtId="164" fontId="14" fillId="4" borderId="13" xfId="2" applyFont="1" applyFill="1" applyBorder="1" applyAlignment="1">
      <alignment horizontal="center"/>
    </xf>
    <xf numFmtId="164" fontId="13" fillId="4" borderId="15" xfId="2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justify" vertical="center" wrapText="1"/>
    </xf>
    <xf numFmtId="164" fontId="13" fillId="2" borderId="13" xfId="2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justify" vertical="center" wrapText="1"/>
    </xf>
    <xf numFmtId="0" fontId="12" fillId="0" borderId="2" xfId="0" applyFont="1" applyBorder="1" applyAlignment="1">
      <alignment vertical="center" wrapText="1"/>
    </xf>
    <xf numFmtId="166" fontId="13" fillId="0" borderId="2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justify" vertical="center" wrapText="1"/>
    </xf>
    <xf numFmtId="0" fontId="11" fillId="2" borderId="8" xfId="0" applyFont="1" applyFill="1" applyBorder="1" applyAlignment="1">
      <alignment horizontal="justify" vertical="center" wrapText="1"/>
    </xf>
    <xf numFmtId="1" fontId="13" fillId="2" borderId="7" xfId="0" applyNumberFormat="1" applyFont="1" applyFill="1" applyBorder="1" applyAlignment="1">
      <alignment horizontal="center" vertical="center"/>
    </xf>
    <xf numFmtId="166" fontId="13" fillId="2" borderId="7" xfId="0" applyNumberFormat="1" applyFont="1" applyFill="1" applyBorder="1" applyAlignment="1">
      <alignment horizontal="center" vertical="center"/>
    </xf>
    <xf numFmtId="39" fontId="13" fillId="4" borderId="17" xfId="2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166" fontId="12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166" fontId="11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justify" vertical="center"/>
    </xf>
    <xf numFmtId="166" fontId="1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justify" vertical="center"/>
    </xf>
    <xf numFmtId="166" fontId="11" fillId="2" borderId="1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center" vertical="center"/>
    </xf>
    <xf numFmtId="166" fontId="14" fillId="0" borderId="2" xfId="0" applyNumberFormat="1" applyFont="1" applyBorder="1" applyAlignment="1">
      <alignment horizontal="center" vertical="center"/>
    </xf>
    <xf numFmtId="164" fontId="13" fillId="4" borderId="13" xfId="2" applyFont="1" applyFill="1" applyBorder="1" applyAlignment="1">
      <alignment horizontal="center"/>
    </xf>
    <xf numFmtId="9" fontId="0" fillId="0" borderId="0" xfId="0" applyNumberFormat="1"/>
    <xf numFmtId="1" fontId="9" fillId="0" borderId="0" xfId="0" applyNumberFormat="1" applyFont="1" applyAlignment="1">
      <alignment horizontal="center"/>
    </xf>
    <xf numFmtId="1" fontId="13" fillId="2" borderId="5" xfId="0" applyNumberFormat="1" applyFont="1" applyFill="1" applyBorder="1" applyAlignment="1">
      <alignment horizontal="center" vertical="center"/>
    </xf>
    <xf numFmtId="1" fontId="14" fillId="0" borderId="6" xfId="0" applyNumberFormat="1" applyFont="1" applyBorder="1" applyAlignment="1">
      <alignment horizontal="center" vertical="center"/>
    </xf>
    <xf numFmtId="1" fontId="14" fillId="0" borderId="5" xfId="0" applyNumberFormat="1" applyFont="1" applyBorder="1" applyAlignment="1">
      <alignment horizontal="center" vertical="center"/>
    </xf>
    <xf numFmtId="1" fontId="13" fillId="4" borderId="13" xfId="5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3" fillId="0" borderId="5" xfId="0" applyNumberFormat="1" applyFont="1" applyBorder="1" applyAlignment="1">
      <alignment horizontal="center"/>
    </xf>
    <xf numFmtId="1" fontId="14" fillId="0" borderId="7" xfId="0" applyNumberFormat="1" applyFont="1" applyBorder="1" applyAlignment="1">
      <alignment horizontal="center" vertical="center"/>
    </xf>
    <xf numFmtId="1" fontId="13" fillId="0" borderId="13" xfId="0" applyNumberFormat="1" applyFont="1" applyBorder="1" applyAlignment="1">
      <alignment horizontal="center" vertical="center"/>
    </xf>
    <xf numFmtId="1" fontId="13" fillId="2" borderId="5" xfId="2" applyNumberFormat="1" applyFont="1" applyFill="1" applyBorder="1" applyAlignment="1">
      <alignment horizontal="center" vertical="center"/>
    </xf>
    <xf numFmtId="1" fontId="13" fillId="2" borderId="13" xfId="2" applyNumberFormat="1" applyFont="1" applyFill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39" fontId="20" fillId="4" borderId="13" xfId="2" applyNumberFormat="1" applyFont="1" applyFill="1" applyBorder="1" applyAlignment="1">
      <alignment horizontal="center"/>
    </xf>
    <xf numFmtId="165" fontId="20" fillId="4" borderId="13" xfId="1" applyFont="1" applyFill="1" applyBorder="1" applyAlignment="1">
      <alignment horizontal="center"/>
    </xf>
    <xf numFmtId="39" fontId="19" fillId="4" borderId="13" xfId="2" applyNumberFormat="1" applyFont="1" applyFill="1" applyBorder="1" applyAlignment="1">
      <alignment horizontal="center"/>
    </xf>
    <xf numFmtId="39" fontId="20" fillId="4" borderId="15" xfId="2" applyNumberFormat="1" applyFont="1" applyFill="1" applyBorder="1" applyAlignment="1">
      <alignment horizontal="center"/>
    </xf>
    <xf numFmtId="39" fontId="19" fillId="4" borderId="2" xfId="2" applyNumberFormat="1" applyFont="1" applyFill="1" applyBorder="1" applyAlignment="1">
      <alignment horizontal="center"/>
    </xf>
    <xf numFmtId="166" fontId="21" fillId="2" borderId="5" xfId="0" applyNumberFormat="1" applyFont="1" applyFill="1" applyBorder="1" applyAlignment="1">
      <alignment horizontal="center" vertical="center"/>
    </xf>
    <xf numFmtId="166" fontId="21" fillId="2" borderId="6" xfId="0" applyNumberFormat="1" applyFont="1" applyFill="1" applyBorder="1" applyAlignment="1">
      <alignment horizontal="center" vertical="center"/>
    </xf>
    <xf numFmtId="166" fontId="22" fillId="0" borderId="4" xfId="0" applyNumberFormat="1" applyFont="1" applyBorder="1" applyAlignment="1">
      <alignment horizontal="center" vertical="center"/>
    </xf>
    <xf numFmtId="39" fontId="13" fillId="4" borderId="16" xfId="2" applyNumberFormat="1" applyFont="1" applyFill="1" applyBorder="1" applyAlignment="1">
      <alignment horizontal="center"/>
    </xf>
    <xf numFmtId="39" fontId="23" fillId="4" borderId="1" xfId="2" applyNumberFormat="1" applyFont="1" applyFill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166" fontId="20" fillId="0" borderId="5" xfId="0" applyNumberFormat="1" applyFont="1" applyBorder="1" applyAlignment="1">
      <alignment horizontal="center" vertical="center"/>
    </xf>
    <xf numFmtId="1" fontId="20" fillId="0" borderId="5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164" fontId="20" fillId="4" borderId="13" xfId="2" applyFont="1" applyFill="1" applyBorder="1" applyAlignment="1">
      <alignment horizontal="center" vertical="center"/>
    </xf>
    <xf numFmtId="166" fontId="11" fillId="0" borderId="8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39" fontId="14" fillId="4" borderId="16" xfId="2" applyNumberFormat="1" applyFont="1" applyFill="1" applyBorder="1" applyAlignment="1">
      <alignment horizontal="center" vertical="center"/>
    </xf>
    <xf numFmtId="39" fontId="13" fillId="4" borderId="16" xfId="2" applyNumberFormat="1" applyFont="1" applyFill="1" applyBorder="1" applyAlignment="1">
      <alignment horizontal="center" vertical="center"/>
    </xf>
    <xf numFmtId="39" fontId="19" fillId="4" borderId="16" xfId="2" applyNumberFormat="1" applyFont="1" applyFill="1" applyBorder="1" applyAlignment="1">
      <alignment horizontal="center" vertical="center"/>
    </xf>
    <xf numFmtId="39" fontId="20" fillId="4" borderId="16" xfId="2" applyNumberFormat="1" applyFont="1" applyFill="1" applyBorder="1" applyAlignment="1">
      <alignment horizontal="center" vertical="center"/>
    </xf>
    <xf numFmtId="39" fontId="23" fillId="4" borderId="1" xfId="2" applyNumberFormat="1" applyFont="1" applyFill="1" applyBorder="1" applyAlignment="1">
      <alignment horizontal="center" vertical="center"/>
    </xf>
    <xf numFmtId="168" fontId="0" fillId="0" borderId="0" xfId="0" applyNumberFormat="1"/>
    <xf numFmtId="1" fontId="13" fillId="2" borderId="8" xfId="0" applyNumberFormat="1" applyFont="1" applyFill="1" applyBorder="1" applyAlignment="1">
      <alignment horizontal="center" vertical="center"/>
    </xf>
    <xf numFmtId="1" fontId="13" fillId="0" borderId="7" xfId="0" applyNumberFormat="1" applyFont="1" applyBorder="1" applyAlignment="1">
      <alignment horizontal="center"/>
    </xf>
    <xf numFmtId="1" fontId="9" fillId="4" borderId="7" xfId="4" applyNumberFormat="1" applyFont="1" applyFill="1" applyBorder="1" applyAlignment="1">
      <alignment horizontal="center" vertical="center"/>
    </xf>
    <xf numFmtId="1" fontId="13" fillId="2" borderId="13" xfId="0" applyNumberFormat="1" applyFont="1" applyFill="1" applyBorder="1" applyAlignment="1">
      <alignment horizontal="center" vertical="center"/>
    </xf>
    <xf numFmtId="165" fontId="13" fillId="0" borderId="13" xfId="1" applyFont="1" applyFill="1" applyBorder="1" applyAlignment="1">
      <alignment horizontal="center"/>
    </xf>
    <xf numFmtId="39" fontId="14" fillId="0" borderId="13" xfId="2" applyNumberFormat="1" applyFont="1" applyFill="1" applyBorder="1" applyAlignment="1">
      <alignment horizontal="center"/>
    </xf>
    <xf numFmtId="39" fontId="13" fillId="0" borderId="15" xfId="2" applyNumberFormat="1" applyFont="1" applyFill="1" applyBorder="1" applyAlignment="1">
      <alignment horizontal="center"/>
    </xf>
    <xf numFmtId="0" fontId="12" fillId="0" borderId="13" xfId="0" applyFont="1" applyBorder="1" applyAlignment="1">
      <alignment horizontal="justify" vertical="center" wrapText="1"/>
    </xf>
    <xf numFmtId="165" fontId="20" fillId="0" borderId="13" xfId="1" applyFont="1" applyFill="1" applyBorder="1" applyAlignment="1">
      <alignment horizontal="center"/>
    </xf>
    <xf numFmtId="39" fontId="19" fillId="0" borderId="13" xfId="2" applyNumberFormat="1" applyFont="1" applyFill="1" applyBorder="1" applyAlignment="1">
      <alignment horizontal="center"/>
    </xf>
    <xf numFmtId="39" fontId="20" fillId="0" borderId="15" xfId="2" applyNumberFormat="1" applyFont="1" applyFill="1" applyBorder="1" applyAlignment="1">
      <alignment horizontal="center"/>
    </xf>
    <xf numFmtId="164" fontId="14" fillId="4" borderId="13" xfId="2" applyFont="1" applyFill="1" applyBorder="1" applyAlignment="1">
      <alignment horizontal="center" vertical="center"/>
    </xf>
    <xf numFmtId="164" fontId="13" fillId="4" borderId="15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8" xfId="0" applyFont="1" applyBorder="1" applyAlignment="1">
      <alignment horizontal="center" vertical="center"/>
    </xf>
    <xf numFmtId="164" fontId="9" fillId="0" borderId="0" xfId="2" applyFont="1" applyAlignment="1">
      <alignment horizontal="center"/>
    </xf>
    <xf numFmtId="164" fontId="13" fillId="0" borderId="5" xfId="2" applyFont="1" applyBorder="1" applyAlignment="1">
      <alignment horizontal="center" vertical="center"/>
    </xf>
    <xf numFmtId="164" fontId="14" fillId="0" borderId="6" xfId="2" applyFont="1" applyBorder="1" applyAlignment="1">
      <alignment horizontal="center" vertical="center"/>
    </xf>
    <xf numFmtId="164" fontId="14" fillId="0" borderId="5" xfId="2" applyFont="1" applyBorder="1" applyAlignment="1">
      <alignment horizontal="center" vertical="center"/>
    </xf>
    <xf numFmtId="164" fontId="14" fillId="0" borderId="2" xfId="2" applyFont="1" applyBorder="1" applyAlignment="1">
      <alignment horizontal="center" vertical="center"/>
    </xf>
    <xf numFmtId="164" fontId="14" fillId="0" borderId="3" xfId="2" applyFont="1" applyBorder="1" applyAlignment="1">
      <alignment horizontal="center" vertical="center"/>
    </xf>
    <xf numFmtId="164" fontId="14" fillId="4" borderId="3" xfId="2" quotePrefix="1" applyFont="1" applyFill="1" applyBorder="1" applyAlignment="1">
      <alignment horizontal="center"/>
    </xf>
    <xf numFmtId="164" fontId="13" fillId="0" borderId="13" xfId="2" applyFont="1" applyFill="1" applyBorder="1" applyAlignment="1">
      <alignment horizontal="center"/>
    </xf>
    <xf numFmtId="164" fontId="13" fillId="4" borderId="13" xfId="2" quotePrefix="1" applyFont="1" applyFill="1" applyBorder="1" applyAlignment="1">
      <alignment horizontal="center"/>
    </xf>
    <xf numFmtId="164" fontId="14" fillId="4" borderId="3" xfId="2" applyFont="1" applyFill="1" applyBorder="1" applyAlignment="1">
      <alignment horizontal="center"/>
    </xf>
    <xf numFmtId="164" fontId="13" fillId="4" borderId="21" xfId="2" applyFont="1" applyFill="1" applyBorder="1" applyAlignment="1">
      <alignment horizontal="center"/>
    </xf>
    <xf numFmtId="164" fontId="13" fillId="4" borderId="14" xfId="2" applyFont="1" applyFill="1" applyBorder="1" applyAlignment="1">
      <alignment horizontal="center" vertical="center"/>
    </xf>
    <xf numFmtId="164" fontId="13" fillId="0" borderId="7" xfId="2" applyFont="1" applyBorder="1" applyAlignment="1">
      <alignment horizontal="center" vertical="center"/>
    </xf>
    <xf numFmtId="164" fontId="13" fillId="0" borderId="2" xfId="2" applyFont="1" applyBorder="1" applyAlignment="1">
      <alignment horizontal="center" vertical="center"/>
    </xf>
    <xf numFmtId="164" fontId="13" fillId="4" borderId="16" xfId="2" applyFont="1" applyFill="1" applyBorder="1" applyAlignment="1">
      <alignment horizontal="center" vertical="center"/>
    </xf>
    <xf numFmtId="1" fontId="14" fillId="0" borderId="6" xfId="0" applyNumberFormat="1" applyFont="1" applyBorder="1" applyAlignment="1">
      <alignment horizontal="center"/>
    </xf>
    <xf numFmtId="1" fontId="14" fillId="0" borderId="2" xfId="0" applyNumberFormat="1" applyFont="1" applyBorder="1" applyAlignment="1">
      <alignment horizontal="center"/>
    </xf>
    <xf numFmtId="1" fontId="14" fillId="0" borderId="5" xfId="0" applyNumberFormat="1" applyFont="1" applyBorder="1" applyAlignment="1">
      <alignment horizontal="center"/>
    </xf>
    <xf numFmtId="39" fontId="25" fillId="4" borderId="13" xfId="2" applyNumberFormat="1" applyFont="1" applyFill="1" applyBorder="1" applyAlignment="1">
      <alignment horizontal="center"/>
    </xf>
    <xf numFmtId="166" fontId="25" fillId="0" borderId="5" xfId="0" applyNumberFormat="1" applyFont="1" applyBorder="1" applyAlignment="1">
      <alignment horizontal="center" vertical="center"/>
    </xf>
    <xf numFmtId="166" fontId="12" fillId="2" borderId="1" xfId="0" applyNumberFormat="1" applyFont="1" applyFill="1" applyBorder="1" applyAlignment="1">
      <alignment horizontal="center" vertical="center"/>
    </xf>
    <xf numFmtId="164" fontId="19" fillId="4" borderId="13" xfId="2" applyFont="1" applyFill="1" applyBorder="1" applyAlignment="1">
      <alignment horizontal="center" vertical="center"/>
    </xf>
    <xf numFmtId="164" fontId="20" fillId="4" borderId="15" xfId="2" applyFont="1" applyFill="1" applyBorder="1" applyAlignment="1">
      <alignment horizontal="center" vertical="center"/>
    </xf>
    <xf numFmtId="0" fontId="13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/>
    </xf>
    <xf numFmtId="166" fontId="18" fillId="2" borderId="13" xfId="0" applyNumberFormat="1" applyFont="1" applyFill="1" applyBorder="1" applyAlignment="1">
      <alignment horizontal="center" vertical="center"/>
    </xf>
    <xf numFmtId="164" fontId="18" fillId="2" borderId="13" xfId="2" applyFont="1" applyFill="1" applyBorder="1" applyAlignment="1">
      <alignment horizontal="center" vertical="center"/>
    </xf>
    <xf numFmtId="1" fontId="13" fillId="2" borderId="6" xfId="0" applyNumberFormat="1" applyFont="1" applyFill="1" applyBorder="1" applyAlignment="1">
      <alignment horizontal="center" vertical="center"/>
    </xf>
    <xf numFmtId="1" fontId="13" fillId="2" borderId="14" xfId="0" applyNumberFormat="1" applyFont="1" applyFill="1" applyBorder="1" applyAlignment="1">
      <alignment horizontal="center" vertical="center"/>
    </xf>
    <xf numFmtId="1" fontId="13" fillId="0" borderId="6" xfId="0" applyNumberFormat="1" applyFont="1" applyBorder="1" applyAlignment="1">
      <alignment horizontal="center" vertical="center"/>
    </xf>
    <xf numFmtId="164" fontId="13" fillId="2" borderId="7" xfId="2" applyFont="1" applyFill="1" applyBorder="1" applyAlignment="1">
      <alignment horizontal="center" vertical="center"/>
    </xf>
    <xf numFmtId="39" fontId="14" fillId="4" borderId="13" xfId="3" applyNumberFormat="1" applyFont="1" applyFill="1" applyBorder="1" applyAlignment="1">
      <alignment horizontal="center" vertical="center"/>
    </xf>
    <xf numFmtId="39" fontId="13" fillId="4" borderId="15" xfId="3" applyNumberFormat="1" applyFont="1" applyFill="1" applyBorder="1" applyAlignment="1">
      <alignment horizontal="center" vertical="center"/>
    </xf>
    <xf numFmtId="39" fontId="14" fillId="4" borderId="15" xfId="3" applyNumberFormat="1" applyFont="1" applyFill="1" applyBorder="1" applyAlignment="1">
      <alignment horizontal="center" vertical="center"/>
    </xf>
    <xf numFmtId="39" fontId="24" fillId="4" borderId="4" xfId="2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justify" vertical="center" wrapText="1"/>
    </xf>
    <xf numFmtId="1" fontId="7" fillId="0" borderId="13" xfId="0" applyNumberFormat="1" applyFont="1" applyBorder="1" applyAlignment="1">
      <alignment horizontal="center" vertical="center"/>
    </xf>
    <xf numFmtId="166" fontId="7" fillId="0" borderId="13" xfId="0" applyNumberFormat="1" applyFont="1" applyBorder="1" applyAlignment="1">
      <alignment horizontal="center" vertical="center"/>
    </xf>
    <xf numFmtId="164" fontId="7" fillId="0" borderId="13" xfId="2" applyFont="1" applyBorder="1" applyAlignment="1">
      <alignment horizontal="center" vertical="center"/>
    </xf>
    <xf numFmtId="166" fontId="2" fillId="0" borderId="13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justify" vertical="center" wrapText="1"/>
    </xf>
    <xf numFmtId="166" fontId="13" fillId="2" borderId="13" xfId="0" applyNumberFormat="1" applyFont="1" applyFill="1" applyBorder="1" applyAlignment="1">
      <alignment horizontal="center" vertical="center"/>
    </xf>
    <xf numFmtId="164" fontId="13" fillId="0" borderId="13" xfId="2" applyFont="1" applyBorder="1" applyAlignment="1">
      <alignment horizontal="center" vertical="center"/>
    </xf>
    <xf numFmtId="166" fontId="11" fillId="0" borderId="13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vertical="center" wrapText="1"/>
    </xf>
    <xf numFmtId="1" fontId="14" fillId="0" borderId="13" xfId="0" applyNumberFormat="1" applyFont="1" applyBorder="1" applyAlignment="1">
      <alignment horizontal="center" vertical="center"/>
    </xf>
    <xf numFmtId="164" fontId="7" fillId="2" borderId="13" xfId="2" applyFont="1" applyFill="1" applyBorder="1" applyAlignment="1">
      <alignment horizontal="center" vertical="center"/>
    </xf>
    <xf numFmtId="164" fontId="14" fillId="2" borderId="13" xfId="2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vertical="center" wrapText="1"/>
    </xf>
    <xf numFmtId="0" fontId="13" fillId="2" borderId="1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vertical="center" wrapText="1"/>
    </xf>
    <xf numFmtId="1" fontId="14" fillId="2" borderId="13" xfId="0" applyNumberFormat="1" applyFont="1" applyFill="1" applyBorder="1" applyAlignment="1">
      <alignment horizontal="center" vertical="center"/>
    </xf>
    <xf numFmtId="166" fontId="17" fillId="2" borderId="13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2" fillId="2" borderId="28" xfId="0" applyFont="1" applyFill="1" applyBorder="1" applyAlignment="1">
      <alignment vertical="center" wrapText="1"/>
    </xf>
    <xf numFmtId="0" fontId="12" fillId="2" borderId="28" xfId="0" applyFont="1" applyFill="1" applyBorder="1" applyAlignment="1">
      <alignment horizontal="center" vertical="center"/>
    </xf>
    <xf numFmtId="1" fontId="13" fillId="2" borderId="28" xfId="0" applyNumberFormat="1" applyFont="1" applyFill="1" applyBorder="1" applyAlignment="1">
      <alignment horizontal="center" vertical="center"/>
    </xf>
    <xf numFmtId="166" fontId="18" fillId="2" borderId="28" xfId="0" applyNumberFormat="1" applyFont="1" applyFill="1" applyBorder="1" applyAlignment="1">
      <alignment horizontal="center" vertical="center"/>
    </xf>
    <xf numFmtId="164" fontId="14" fillId="2" borderId="28" xfId="2" applyFont="1" applyFill="1" applyBorder="1" applyAlignment="1">
      <alignment horizontal="center" vertical="center"/>
    </xf>
    <xf numFmtId="39" fontId="14" fillId="4" borderId="28" xfId="3" applyNumberFormat="1" applyFont="1" applyFill="1" applyBorder="1" applyAlignment="1">
      <alignment horizontal="center" vertical="center"/>
    </xf>
    <xf numFmtId="39" fontId="14" fillId="4" borderId="29" xfId="3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1" fillId="2" borderId="1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66" fontId="11" fillId="3" borderId="1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</cellXfs>
  <cellStyles count="13">
    <cellStyle name="Comma" xfId="1" builtinId="3"/>
    <cellStyle name="Comma 2" xfId="7" xr:uid="{00000000-0005-0000-0000-000001000000}"/>
    <cellStyle name="Comma 3" xfId="6" xr:uid="{00000000-0005-0000-0000-000002000000}"/>
    <cellStyle name="Currency" xfId="2" builtinId="4"/>
    <cellStyle name="Currency 2" xfId="3" xr:uid="{00000000-0005-0000-0000-000004000000}"/>
    <cellStyle name="Currency 3" xfId="8" xr:uid="{00000000-0005-0000-0000-000005000000}"/>
    <cellStyle name="Good" xfId="4" builtinId="26"/>
    <cellStyle name="Normal" xfId="0" builtinId="0"/>
    <cellStyle name="Normal 2" xfId="9" xr:uid="{00000000-0005-0000-0000-000008000000}"/>
    <cellStyle name="Normal 2 2" xfId="10" xr:uid="{00000000-0005-0000-0000-000009000000}"/>
    <cellStyle name="Normal 3" xfId="11" xr:uid="{00000000-0005-0000-0000-00000A000000}"/>
    <cellStyle name="Normal 4" xfId="5" xr:uid="{00000000-0005-0000-0000-00000B000000}"/>
    <cellStyle name="Percent 2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2"/>
  <sheetViews>
    <sheetView showGridLines="0" view="pageBreakPreview" topLeftCell="A16" zoomScale="90" zoomScaleNormal="100" zoomScaleSheetLayoutView="90" workbookViewId="0">
      <selection activeCell="F26" sqref="F26:F30"/>
    </sheetView>
  </sheetViews>
  <sheetFormatPr defaultRowHeight="14.4" x14ac:dyDescent="0.3"/>
  <cols>
    <col min="3" max="3" width="38.6640625" customWidth="1"/>
    <col min="4" max="4" width="21.6640625" style="2" customWidth="1"/>
    <col min="5" max="5" width="22.33203125" style="2" customWidth="1"/>
    <col min="6" max="6" width="29.88671875" style="2" customWidth="1"/>
    <col min="7" max="7" width="11.44140625" customWidth="1"/>
    <col min="8" max="8" width="18.33203125" customWidth="1"/>
    <col min="9" max="9" width="16.6640625" customWidth="1"/>
    <col min="10" max="10" width="9.88671875" customWidth="1"/>
  </cols>
  <sheetData>
    <row r="1" spans="2:6" ht="18.600000000000001" thickBot="1" x14ac:dyDescent="0.4">
      <c r="B1" s="5"/>
    </row>
    <row r="2" spans="2:6" ht="18.600000000000001" thickBot="1" x14ac:dyDescent="0.4">
      <c r="B2" s="241" t="s">
        <v>238</v>
      </c>
      <c r="C2" s="242"/>
      <c r="D2" s="242"/>
      <c r="E2" s="242"/>
      <c r="F2" s="243"/>
    </row>
    <row r="3" spans="2:6" ht="16.2" customHeight="1" thickBot="1" x14ac:dyDescent="0.35">
      <c r="B3" s="101" t="s">
        <v>0</v>
      </c>
      <c r="C3" s="101" t="s">
        <v>1</v>
      </c>
      <c r="D3" s="247" t="s">
        <v>168</v>
      </c>
      <c r="E3" s="247"/>
      <c r="F3" s="102"/>
    </row>
    <row r="4" spans="2:6" ht="18" customHeight="1" thickBot="1" x14ac:dyDescent="0.35">
      <c r="B4" s="103" t="s">
        <v>239</v>
      </c>
      <c r="C4" s="103"/>
      <c r="D4" s="104" t="s">
        <v>169</v>
      </c>
      <c r="E4" s="104" t="s">
        <v>170</v>
      </c>
      <c r="F4" s="104" t="s">
        <v>171</v>
      </c>
    </row>
    <row r="5" spans="2:6" ht="28.95" customHeight="1" thickBot="1" x14ac:dyDescent="0.35">
      <c r="B5" s="66" t="s">
        <v>10</v>
      </c>
      <c r="C5" s="105" t="s">
        <v>172</v>
      </c>
      <c r="D5" s="106"/>
      <c r="E5" s="106"/>
      <c r="F5" s="106"/>
    </row>
    <row r="6" spans="2:6" ht="28.95" customHeight="1" thickBot="1" x14ac:dyDescent="0.35">
      <c r="B6" s="66" t="s">
        <v>18</v>
      </c>
      <c r="C6" s="105" t="s">
        <v>19</v>
      </c>
      <c r="D6" s="106"/>
      <c r="E6" s="106"/>
      <c r="F6" s="106"/>
    </row>
    <row r="7" spans="2:6" ht="28.95" customHeight="1" thickBot="1" x14ac:dyDescent="0.35">
      <c r="B7" s="66" t="s">
        <v>27</v>
      </c>
      <c r="C7" s="105" t="s">
        <v>28</v>
      </c>
      <c r="D7" s="106"/>
      <c r="E7" s="106"/>
      <c r="F7" s="106"/>
    </row>
    <row r="8" spans="2:6" ht="28.95" customHeight="1" thickBot="1" x14ac:dyDescent="0.35">
      <c r="B8" s="66" t="s">
        <v>54</v>
      </c>
      <c r="C8" s="105" t="s">
        <v>55</v>
      </c>
      <c r="D8" s="106"/>
      <c r="E8" s="106"/>
      <c r="F8" s="106"/>
    </row>
    <row r="9" spans="2:6" ht="28.95" customHeight="1" thickBot="1" x14ac:dyDescent="0.35">
      <c r="B9" s="66" t="s">
        <v>63</v>
      </c>
      <c r="C9" s="105" t="s">
        <v>234</v>
      </c>
      <c r="D9" s="106"/>
      <c r="E9" s="106"/>
      <c r="F9" s="106"/>
    </row>
    <row r="10" spans="2:6" ht="28.95" customHeight="1" thickBot="1" x14ac:dyDescent="0.35">
      <c r="B10" s="66" t="s">
        <v>80</v>
      </c>
      <c r="C10" s="105" t="s">
        <v>206</v>
      </c>
      <c r="D10" s="106"/>
      <c r="E10" s="106"/>
      <c r="F10" s="106"/>
    </row>
    <row r="11" spans="2:6" ht="28.95" customHeight="1" thickBot="1" x14ac:dyDescent="0.35">
      <c r="B11" s="66" t="s">
        <v>84</v>
      </c>
      <c r="C11" s="105" t="s">
        <v>85</v>
      </c>
      <c r="D11" s="106"/>
      <c r="E11" s="106"/>
      <c r="F11" s="106"/>
    </row>
    <row r="12" spans="2:6" ht="28.95" customHeight="1" thickBot="1" x14ac:dyDescent="0.35">
      <c r="B12" s="66" t="s">
        <v>94</v>
      </c>
      <c r="C12" s="105" t="s">
        <v>207</v>
      </c>
      <c r="D12" s="106"/>
      <c r="E12" s="106"/>
      <c r="F12" s="106"/>
    </row>
    <row r="13" spans="2:6" ht="28.95" customHeight="1" thickBot="1" x14ac:dyDescent="0.35">
      <c r="B13" s="66" t="s">
        <v>95</v>
      </c>
      <c r="C13" s="105" t="s">
        <v>96</v>
      </c>
      <c r="D13" s="106"/>
      <c r="E13" s="106"/>
      <c r="F13" s="106"/>
    </row>
    <row r="14" spans="2:6" ht="28.95" customHeight="1" thickBot="1" x14ac:dyDescent="0.35">
      <c r="B14" s="66" t="s">
        <v>98</v>
      </c>
      <c r="C14" s="105" t="s">
        <v>99</v>
      </c>
      <c r="D14" s="106"/>
      <c r="E14" s="106"/>
      <c r="F14" s="106"/>
    </row>
    <row r="15" spans="2:6" ht="28.95" customHeight="1" thickBot="1" x14ac:dyDescent="0.35">
      <c r="B15" s="66" t="s">
        <v>111</v>
      </c>
      <c r="C15" s="105" t="s">
        <v>112</v>
      </c>
      <c r="D15" s="106"/>
      <c r="E15" s="106"/>
      <c r="F15" s="106"/>
    </row>
    <row r="16" spans="2:6" ht="28.95" customHeight="1" thickBot="1" x14ac:dyDescent="0.35">
      <c r="B16" s="66" t="s">
        <v>126</v>
      </c>
      <c r="C16" s="105" t="s">
        <v>173</v>
      </c>
      <c r="D16" s="106"/>
      <c r="E16" s="106"/>
      <c r="F16" s="106"/>
    </row>
    <row r="17" spans="2:9" ht="28.95" customHeight="1" thickBot="1" x14ac:dyDescent="0.35">
      <c r="B17" s="66" t="s">
        <v>22</v>
      </c>
      <c r="C17" s="105" t="s">
        <v>131</v>
      </c>
      <c r="D17" s="106"/>
      <c r="E17" s="106"/>
      <c r="F17" s="106"/>
    </row>
    <row r="18" spans="2:9" ht="28.95" customHeight="1" thickBot="1" x14ac:dyDescent="0.35">
      <c r="B18" s="66" t="s">
        <v>135</v>
      </c>
      <c r="C18" s="105" t="s">
        <v>136</v>
      </c>
      <c r="D18" s="106"/>
      <c r="E18" s="106"/>
      <c r="F18" s="106"/>
    </row>
    <row r="19" spans="2:9" ht="28.95" customHeight="1" thickBot="1" x14ac:dyDescent="0.35">
      <c r="B19" s="66" t="s">
        <v>139</v>
      </c>
      <c r="C19" s="105" t="s">
        <v>140</v>
      </c>
      <c r="D19" s="106"/>
      <c r="E19" s="106"/>
      <c r="F19" s="106"/>
    </row>
    <row r="20" spans="2:9" ht="28.95" customHeight="1" thickBot="1" x14ac:dyDescent="0.35">
      <c r="B20" s="66" t="s">
        <v>142</v>
      </c>
      <c r="C20" s="105" t="s">
        <v>211</v>
      </c>
      <c r="D20" s="106"/>
      <c r="E20" s="106"/>
      <c r="F20" s="106"/>
    </row>
    <row r="21" spans="2:9" ht="28.95" customHeight="1" thickBot="1" x14ac:dyDescent="0.35">
      <c r="B21" s="66" t="s">
        <v>149</v>
      </c>
      <c r="C21" s="105" t="s">
        <v>150</v>
      </c>
      <c r="D21" s="106"/>
      <c r="E21" s="106"/>
      <c r="F21" s="106"/>
    </row>
    <row r="22" spans="2:9" ht="28.95" customHeight="1" thickBot="1" x14ac:dyDescent="0.35">
      <c r="B22" s="66" t="s">
        <v>159</v>
      </c>
      <c r="C22" s="105" t="s">
        <v>160</v>
      </c>
      <c r="D22" s="106"/>
      <c r="E22" s="106"/>
      <c r="F22" s="106"/>
    </row>
    <row r="23" spans="2:9" ht="28.95" customHeight="1" thickBot="1" x14ac:dyDescent="0.35">
      <c r="B23" s="66" t="s">
        <v>165</v>
      </c>
      <c r="C23" s="105" t="s">
        <v>174</v>
      </c>
      <c r="D23" s="106"/>
      <c r="E23" s="106"/>
      <c r="F23" s="106"/>
    </row>
    <row r="24" spans="2:9" ht="22.95" customHeight="1" thickBot="1" x14ac:dyDescent="0.35">
      <c r="B24" s="107" t="s">
        <v>180</v>
      </c>
      <c r="C24" s="105"/>
      <c r="D24" s="108"/>
      <c r="E24" s="108"/>
      <c r="F24" s="108"/>
      <c r="H24" s="156"/>
    </row>
    <row r="25" spans="2:9" ht="22.95" customHeight="1" thickBot="1" x14ac:dyDescent="0.35">
      <c r="B25" s="109"/>
      <c r="C25" s="110"/>
      <c r="D25" s="111"/>
      <c r="E25" s="111"/>
      <c r="F25" s="111"/>
      <c r="G25" s="156"/>
    </row>
    <row r="26" spans="2:9" ht="22.95" customHeight="1" thickBot="1" x14ac:dyDescent="0.35">
      <c r="B26" s="244" t="s">
        <v>175</v>
      </c>
      <c r="C26" s="245"/>
      <c r="D26" s="245"/>
      <c r="E26" s="246"/>
      <c r="F26" s="111"/>
      <c r="G26" s="156"/>
    </row>
    <row r="27" spans="2:9" ht="22.95" customHeight="1" thickBot="1" x14ac:dyDescent="0.35">
      <c r="B27" s="248" t="s">
        <v>219</v>
      </c>
      <c r="C27" s="249"/>
      <c r="D27" s="249"/>
      <c r="E27" s="250"/>
      <c r="F27" s="192"/>
      <c r="G27" s="156"/>
      <c r="H27" s="2"/>
    </row>
    <row r="28" spans="2:9" ht="22.95" customHeight="1" thickBot="1" x14ac:dyDescent="0.35">
      <c r="B28" s="244" t="s">
        <v>241</v>
      </c>
      <c r="C28" s="245"/>
      <c r="D28" s="245"/>
      <c r="E28" s="246"/>
      <c r="F28" s="111"/>
      <c r="G28" s="156"/>
    </row>
    <row r="29" spans="2:9" ht="22.95" customHeight="1" thickBot="1" x14ac:dyDescent="0.35">
      <c r="B29" s="248" t="s">
        <v>176</v>
      </c>
      <c r="C29" s="249"/>
      <c r="D29" s="249"/>
      <c r="E29" s="250"/>
      <c r="F29" s="192"/>
      <c r="H29" s="156"/>
    </row>
    <row r="30" spans="2:9" ht="22.95" customHeight="1" thickBot="1" x14ac:dyDescent="0.35">
      <c r="B30" s="244" t="s">
        <v>242</v>
      </c>
      <c r="C30" s="245"/>
      <c r="D30" s="245"/>
      <c r="E30" s="246"/>
      <c r="F30" s="111"/>
      <c r="H30" s="2"/>
      <c r="I30" s="156"/>
    </row>
    <row r="31" spans="2:9" x14ac:dyDescent="0.3">
      <c r="G31" s="156"/>
      <c r="H31" s="156"/>
    </row>
    <row r="32" spans="2:9" x14ac:dyDescent="0.3">
      <c r="I32" s="156"/>
    </row>
  </sheetData>
  <mergeCells count="7">
    <mergeCell ref="B2:F2"/>
    <mergeCell ref="B30:E30"/>
    <mergeCell ref="D3:E3"/>
    <mergeCell ref="B26:E26"/>
    <mergeCell ref="B27:E27"/>
    <mergeCell ref="B28:E28"/>
    <mergeCell ref="B29:E29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205"/>
  <sheetViews>
    <sheetView showGridLines="0" tabSelected="1" view="pageBreakPreview" zoomScale="70" zoomScaleNormal="100" zoomScaleSheetLayoutView="70" workbookViewId="0">
      <selection activeCell="H10" sqref="H10"/>
    </sheetView>
  </sheetViews>
  <sheetFormatPr defaultRowHeight="14.4" x14ac:dyDescent="0.3"/>
  <cols>
    <col min="2" max="2" width="9" bestFit="1" customWidth="1"/>
    <col min="3" max="3" width="53.5546875" style="3" customWidth="1"/>
    <col min="4" max="4" width="13.21875" style="7" customWidth="1"/>
    <col min="5" max="5" width="10.5546875" style="117" bestFit="1" customWidth="1"/>
    <col min="6" max="6" width="21" style="8" customWidth="1"/>
    <col min="7" max="7" width="10.44140625" style="117" bestFit="1" customWidth="1"/>
    <col min="8" max="8" width="17.109375" style="172" customWidth="1"/>
    <col min="9" max="9" width="19.6640625" style="6" customWidth="1"/>
    <col min="10" max="10" width="17.6640625" style="7" customWidth="1"/>
    <col min="11" max="11" width="17.33203125" style="7" customWidth="1"/>
    <col min="20" max="21" width="0" hidden="1" customWidth="1"/>
    <col min="22" max="23" width="19.6640625" hidden="1" customWidth="1"/>
    <col min="24" max="24" width="19.6640625" customWidth="1"/>
  </cols>
  <sheetData>
    <row r="1" spans="2:11" ht="15" thickBot="1" x14ac:dyDescent="0.35"/>
    <row r="2" spans="2:11" ht="27" customHeight="1" x14ac:dyDescent="0.4">
      <c r="B2" s="255" t="s">
        <v>237</v>
      </c>
      <c r="C2" s="256"/>
      <c r="D2" s="256"/>
      <c r="E2" s="256"/>
      <c r="F2" s="256"/>
      <c r="G2" s="256"/>
      <c r="H2" s="256"/>
      <c r="I2" s="256"/>
      <c r="J2" s="256"/>
      <c r="K2" s="257"/>
    </row>
    <row r="3" spans="2:11" ht="23.4" customHeight="1" x14ac:dyDescent="0.3">
      <c r="B3" s="228" t="s">
        <v>0</v>
      </c>
      <c r="C3" s="208" t="s">
        <v>1</v>
      </c>
      <c r="D3" s="207" t="s">
        <v>2</v>
      </c>
      <c r="E3" s="209" t="s">
        <v>3</v>
      </c>
      <c r="F3" s="210" t="s">
        <v>4</v>
      </c>
      <c r="G3" s="209" t="s">
        <v>5</v>
      </c>
      <c r="H3" s="211" t="s">
        <v>6</v>
      </c>
      <c r="I3" s="212" t="s">
        <v>7</v>
      </c>
      <c r="J3" s="207" t="s">
        <v>8</v>
      </c>
      <c r="K3" s="229" t="s">
        <v>9</v>
      </c>
    </row>
    <row r="4" spans="2:11" ht="35.4" customHeight="1" x14ac:dyDescent="0.3">
      <c r="B4" s="230" t="s">
        <v>10</v>
      </c>
      <c r="C4" s="214" t="s">
        <v>172</v>
      </c>
      <c r="D4" s="71"/>
      <c r="E4" s="160"/>
      <c r="F4" s="215"/>
      <c r="G4" s="126"/>
      <c r="H4" s="216"/>
      <c r="I4" s="217"/>
      <c r="J4" s="213"/>
      <c r="K4" s="231"/>
    </row>
    <row r="5" spans="2:11" ht="35.4" customHeight="1" x14ac:dyDescent="0.3">
      <c r="B5" s="232">
        <v>1</v>
      </c>
      <c r="C5" s="195" t="s">
        <v>11</v>
      </c>
      <c r="D5" s="196" t="s">
        <v>12</v>
      </c>
      <c r="E5" s="160">
        <v>0</v>
      </c>
      <c r="F5" s="197"/>
      <c r="G5" s="126">
        <v>1</v>
      </c>
      <c r="H5" s="198"/>
      <c r="I5" s="203"/>
      <c r="J5" s="203"/>
      <c r="K5" s="204"/>
    </row>
    <row r="6" spans="2:11" ht="35.4" customHeight="1" x14ac:dyDescent="0.3">
      <c r="B6" s="232">
        <v>2</v>
      </c>
      <c r="C6" s="195" t="s">
        <v>243</v>
      </c>
      <c r="D6" s="196" t="s">
        <v>12</v>
      </c>
      <c r="E6" s="160">
        <v>0</v>
      </c>
      <c r="F6" s="197"/>
      <c r="G6" s="126">
        <v>1</v>
      </c>
      <c r="H6" s="198"/>
      <c r="I6" s="203"/>
      <c r="J6" s="203"/>
      <c r="K6" s="204"/>
    </row>
    <row r="7" spans="2:11" ht="35.4" customHeight="1" x14ac:dyDescent="0.3">
      <c r="B7" s="232">
        <v>3</v>
      </c>
      <c r="C7" s="218" t="s">
        <v>240</v>
      </c>
      <c r="D7" s="71" t="s">
        <v>13</v>
      </c>
      <c r="E7" s="160">
        <v>0</v>
      </c>
      <c r="F7" s="197"/>
      <c r="G7" s="219">
        <v>8</v>
      </c>
      <c r="H7" s="220">
        <f>6000*1.1</f>
        <v>6600.0000000000009</v>
      </c>
      <c r="I7" s="203"/>
      <c r="J7" s="203">
        <f>H7*G7</f>
        <v>52800.000000000007</v>
      </c>
      <c r="K7" s="205">
        <f>J7</f>
        <v>52800.000000000007</v>
      </c>
    </row>
    <row r="8" spans="2:11" ht="27" customHeight="1" x14ac:dyDescent="0.3">
      <c r="B8" s="232">
        <v>4</v>
      </c>
      <c r="C8" s="195" t="s">
        <v>14</v>
      </c>
      <c r="D8" s="196" t="s">
        <v>13</v>
      </c>
      <c r="E8" s="160">
        <v>0</v>
      </c>
      <c r="F8" s="197"/>
      <c r="G8" s="126">
        <v>1</v>
      </c>
      <c r="H8" s="198"/>
      <c r="I8" s="203"/>
      <c r="J8" s="203"/>
      <c r="K8" s="204"/>
    </row>
    <row r="9" spans="2:11" ht="27" customHeight="1" x14ac:dyDescent="0.3">
      <c r="B9" s="232">
        <v>5</v>
      </c>
      <c r="C9" s="195" t="s">
        <v>15</v>
      </c>
      <c r="D9" s="196" t="s">
        <v>13</v>
      </c>
      <c r="E9" s="160">
        <v>0</v>
      </c>
      <c r="F9" s="197"/>
      <c r="G9" s="126">
        <v>8</v>
      </c>
      <c r="H9" s="198"/>
      <c r="I9" s="203"/>
      <c r="J9" s="203"/>
      <c r="K9" s="204"/>
    </row>
    <row r="10" spans="2:11" ht="35.4" customHeight="1" x14ac:dyDescent="0.3">
      <c r="B10" s="232">
        <v>6</v>
      </c>
      <c r="C10" s="218" t="s">
        <v>248</v>
      </c>
      <c r="D10" s="71" t="s">
        <v>13</v>
      </c>
      <c r="E10" s="160">
        <v>0</v>
      </c>
      <c r="F10" s="197"/>
      <c r="G10" s="126">
        <v>8</v>
      </c>
      <c r="H10" s="221">
        <f>(250*1.1)*7</f>
        <v>1925</v>
      </c>
      <c r="I10" s="203"/>
      <c r="J10" s="203">
        <f>H10*G10</f>
        <v>15400</v>
      </c>
      <c r="K10" s="205">
        <f>J10</f>
        <v>15400</v>
      </c>
    </row>
    <row r="11" spans="2:11" ht="35.4" customHeight="1" x14ac:dyDescent="0.3">
      <c r="B11" s="232">
        <v>7</v>
      </c>
      <c r="C11" s="195" t="s">
        <v>247</v>
      </c>
      <c r="D11" s="71" t="s">
        <v>13</v>
      </c>
      <c r="E11" s="160">
        <v>0</v>
      </c>
      <c r="F11" s="197"/>
      <c r="G11" s="219">
        <v>6</v>
      </c>
      <c r="H11" s="221">
        <f>(22*250*1.1)*20</f>
        <v>121000.00000000001</v>
      </c>
      <c r="I11" s="203"/>
      <c r="J11" s="203">
        <f>H11*G11</f>
        <v>726000.00000000012</v>
      </c>
      <c r="K11" s="205">
        <f>J11</f>
        <v>726000.00000000012</v>
      </c>
    </row>
    <row r="12" spans="2:11" ht="35.4" customHeight="1" x14ac:dyDescent="0.3">
      <c r="B12" s="232">
        <v>8</v>
      </c>
      <c r="C12" s="222" t="s">
        <v>16</v>
      </c>
      <c r="D12" s="223" t="s">
        <v>12</v>
      </c>
      <c r="E12" s="160">
        <v>0</v>
      </c>
      <c r="F12" s="197"/>
      <c r="G12" s="160">
        <v>1</v>
      </c>
      <c r="H12" s="221"/>
      <c r="I12" s="203"/>
      <c r="J12" s="203"/>
      <c r="K12" s="205"/>
    </row>
    <row r="13" spans="2:11" ht="35.4" customHeight="1" x14ac:dyDescent="0.3">
      <c r="B13" s="232">
        <v>9</v>
      </c>
      <c r="C13" s="222" t="s">
        <v>249</v>
      </c>
      <c r="D13" s="224" t="s">
        <v>228</v>
      </c>
      <c r="E13" s="160">
        <v>0</v>
      </c>
      <c r="F13" s="197"/>
      <c r="G13" s="160">
        <v>1</v>
      </c>
      <c r="H13" s="221">
        <v>250000</v>
      </c>
      <c r="I13" s="203"/>
      <c r="J13" s="203">
        <f>H13</f>
        <v>250000</v>
      </c>
      <c r="K13" s="205">
        <f>J13</f>
        <v>250000</v>
      </c>
    </row>
    <row r="14" spans="2:11" ht="35.4" customHeight="1" x14ac:dyDescent="0.3">
      <c r="B14" s="232">
        <v>10</v>
      </c>
      <c r="C14" s="222" t="s">
        <v>250</v>
      </c>
      <c r="D14" s="224" t="s">
        <v>228</v>
      </c>
      <c r="E14" s="160">
        <v>0</v>
      </c>
      <c r="F14" s="197"/>
      <c r="G14" s="160">
        <v>1</v>
      </c>
      <c r="H14" s="221">
        <v>250000</v>
      </c>
      <c r="I14" s="203"/>
      <c r="J14" s="203">
        <f>H14</f>
        <v>250000</v>
      </c>
      <c r="K14" s="205">
        <f>J14</f>
        <v>250000</v>
      </c>
    </row>
    <row r="15" spans="2:11" ht="35.4" customHeight="1" x14ac:dyDescent="0.3">
      <c r="B15" s="232">
        <v>11</v>
      </c>
      <c r="C15" s="225" t="s">
        <v>227</v>
      </c>
      <c r="D15" s="224" t="s">
        <v>228</v>
      </c>
      <c r="E15" s="226">
        <v>0</v>
      </c>
      <c r="F15" s="227"/>
      <c r="G15" s="226">
        <v>1</v>
      </c>
      <c r="H15" s="221">
        <v>200000</v>
      </c>
      <c r="I15" s="203">
        <f t="shared" ref="I15:I16" si="0">E15*F15</f>
        <v>0</v>
      </c>
      <c r="J15" s="203">
        <f t="shared" ref="J15:J16" si="1">G15*H15</f>
        <v>200000</v>
      </c>
      <c r="K15" s="205">
        <f t="shared" ref="K15:K16" si="2">I15+J15</f>
        <v>200000</v>
      </c>
    </row>
    <row r="16" spans="2:11" ht="35.4" customHeight="1" x14ac:dyDescent="0.3">
      <c r="B16" s="232">
        <v>12</v>
      </c>
      <c r="C16" s="225" t="s">
        <v>244</v>
      </c>
      <c r="D16" s="224" t="s">
        <v>228</v>
      </c>
      <c r="E16" s="226">
        <v>1</v>
      </c>
      <c r="F16" s="227">
        <v>150000</v>
      </c>
      <c r="G16" s="226">
        <v>0</v>
      </c>
      <c r="H16" s="221">
        <v>0</v>
      </c>
      <c r="I16" s="203">
        <f t="shared" si="0"/>
        <v>150000</v>
      </c>
      <c r="J16" s="203">
        <f t="shared" si="1"/>
        <v>0</v>
      </c>
      <c r="K16" s="205">
        <f t="shared" si="2"/>
        <v>150000</v>
      </c>
    </row>
    <row r="17" spans="2:21" ht="35.4" customHeight="1" thickBot="1" x14ac:dyDescent="0.35">
      <c r="B17" s="233">
        <v>13</v>
      </c>
      <c r="C17" s="234" t="s">
        <v>226</v>
      </c>
      <c r="D17" s="235" t="s">
        <v>12</v>
      </c>
      <c r="E17" s="236">
        <v>1</v>
      </c>
      <c r="F17" s="237"/>
      <c r="G17" s="236">
        <v>0</v>
      </c>
      <c r="H17" s="238"/>
      <c r="I17" s="239"/>
      <c r="J17" s="239"/>
      <c r="K17" s="240"/>
    </row>
    <row r="18" spans="2:21" ht="29.4" customHeight="1" thickBot="1" x14ac:dyDescent="0.35">
      <c r="B18" s="251" t="s">
        <v>17</v>
      </c>
      <c r="C18" s="252"/>
      <c r="D18" s="16"/>
      <c r="E18" s="119"/>
      <c r="F18" s="24"/>
      <c r="G18" s="119"/>
      <c r="H18" s="174"/>
      <c r="I18" s="206"/>
      <c r="J18" s="206"/>
      <c r="K18" s="42"/>
    </row>
    <row r="19" spans="2:21" ht="35.4" customHeight="1" thickBot="1" x14ac:dyDescent="0.35">
      <c r="B19" s="9" t="s">
        <v>18</v>
      </c>
      <c r="C19" s="10" t="s">
        <v>19</v>
      </c>
      <c r="D19" s="26" t="s">
        <v>2</v>
      </c>
      <c r="E19" s="120" t="s">
        <v>3</v>
      </c>
      <c r="F19" s="27" t="s">
        <v>4</v>
      </c>
      <c r="G19" s="120" t="s">
        <v>5</v>
      </c>
      <c r="H19" s="175"/>
      <c r="I19" s="28" t="s">
        <v>7</v>
      </c>
      <c r="J19" s="29" t="s">
        <v>8</v>
      </c>
      <c r="K19" s="9" t="s">
        <v>9</v>
      </c>
    </row>
    <row r="20" spans="2:21" ht="30.6" customHeight="1" thickBot="1" x14ac:dyDescent="0.35">
      <c r="B20" s="17">
        <v>1</v>
      </c>
      <c r="C20" s="30" t="s">
        <v>21</v>
      </c>
      <c r="D20" s="11" t="s">
        <v>177</v>
      </c>
      <c r="E20" s="98">
        <v>0</v>
      </c>
      <c r="F20" s="15">
        <v>0</v>
      </c>
      <c r="G20" s="121">
        <v>4</v>
      </c>
      <c r="H20" s="173"/>
      <c r="I20" s="18"/>
      <c r="J20" s="19"/>
      <c r="K20" s="20"/>
    </row>
    <row r="21" spans="2:21" ht="35.4" customHeight="1" thickBot="1" x14ac:dyDescent="0.35">
      <c r="B21" s="17">
        <v>2</v>
      </c>
      <c r="C21" s="31" t="s">
        <v>23</v>
      </c>
      <c r="D21" s="32" t="s">
        <v>177</v>
      </c>
      <c r="E21" s="157">
        <v>0</v>
      </c>
      <c r="F21" s="15">
        <v>0</v>
      </c>
      <c r="G21" s="39">
        <v>18</v>
      </c>
      <c r="H21" s="173"/>
      <c r="I21" s="18"/>
      <c r="J21" s="19"/>
      <c r="K21" s="20"/>
    </row>
    <row r="22" spans="2:21" ht="35.4" customHeight="1" thickBot="1" x14ac:dyDescent="0.35">
      <c r="B22" s="33">
        <v>3</v>
      </c>
      <c r="C22" s="21" t="s">
        <v>24</v>
      </c>
      <c r="D22" s="22" t="s">
        <v>177</v>
      </c>
      <c r="E22" s="157">
        <v>0</v>
      </c>
      <c r="F22" s="15">
        <v>0</v>
      </c>
      <c r="G22" s="39">
        <v>22</v>
      </c>
      <c r="H22" s="173"/>
      <c r="I22" s="18"/>
      <c r="J22" s="19"/>
      <c r="K22" s="20"/>
    </row>
    <row r="23" spans="2:21" ht="35.4" customHeight="1" thickBot="1" x14ac:dyDescent="0.35">
      <c r="B23" s="34">
        <v>4</v>
      </c>
      <c r="C23" s="35" t="s">
        <v>25</v>
      </c>
      <c r="D23" s="22" t="s">
        <v>177</v>
      </c>
      <c r="E23" s="157">
        <v>0</v>
      </c>
      <c r="F23" s="15">
        <v>0</v>
      </c>
      <c r="G23" s="39">
        <v>9</v>
      </c>
      <c r="H23" s="173"/>
      <c r="I23" s="18"/>
      <c r="J23" s="19"/>
      <c r="K23" s="20"/>
    </row>
    <row r="24" spans="2:21" ht="35.4" customHeight="1" thickBot="1" x14ac:dyDescent="0.35">
      <c r="B24" s="253" t="s">
        <v>17</v>
      </c>
      <c r="C24" s="254"/>
      <c r="D24" s="29"/>
      <c r="E24" s="123"/>
      <c r="F24" s="24"/>
      <c r="G24" s="119"/>
      <c r="H24" s="174"/>
      <c r="I24" s="36"/>
      <c r="J24" s="36"/>
      <c r="K24" s="25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2:21" ht="35.4" customHeight="1" thickBot="1" x14ac:dyDescent="0.35">
      <c r="B25" s="9" t="s">
        <v>27</v>
      </c>
      <c r="C25" s="10" t="s">
        <v>28</v>
      </c>
      <c r="D25" s="26" t="s">
        <v>2</v>
      </c>
      <c r="E25" s="120" t="s">
        <v>3</v>
      </c>
      <c r="F25" s="27" t="s">
        <v>4</v>
      </c>
      <c r="G25" s="120" t="s">
        <v>5</v>
      </c>
      <c r="H25" s="175" t="s">
        <v>20</v>
      </c>
      <c r="I25" s="28" t="s">
        <v>7</v>
      </c>
      <c r="J25" s="29" t="s">
        <v>8</v>
      </c>
      <c r="K25" s="9" t="s">
        <v>9</v>
      </c>
    </row>
    <row r="26" spans="2:21" ht="35.4" customHeight="1" thickBot="1" x14ac:dyDescent="0.35">
      <c r="B26" s="37" t="s">
        <v>29</v>
      </c>
      <c r="C26" s="38" t="s">
        <v>30</v>
      </c>
      <c r="D26" s="14" t="s">
        <v>31</v>
      </c>
      <c r="E26" s="39">
        <v>0</v>
      </c>
      <c r="F26" s="15"/>
      <c r="G26" s="124">
        <f>0.2*(182+2*74+3+2)+5</f>
        <v>72</v>
      </c>
      <c r="H26" s="115"/>
      <c r="I26" s="18"/>
      <c r="J26" s="19"/>
      <c r="K26" s="20"/>
    </row>
    <row r="27" spans="2:21" ht="30" customHeight="1" thickBot="1" x14ac:dyDescent="0.35">
      <c r="B27" s="17" t="s">
        <v>32</v>
      </c>
      <c r="C27" s="30" t="s">
        <v>191</v>
      </c>
      <c r="D27" s="11" t="s">
        <v>31</v>
      </c>
      <c r="E27" s="39">
        <v>0</v>
      </c>
      <c r="F27" s="15"/>
      <c r="G27" s="124">
        <f>0.4*(182+2*74+3+2)+5</f>
        <v>139</v>
      </c>
      <c r="H27" s="115"/>
      <c r="I27" s="18"/>
      <c r="J27" s="19"/>
      <c r="K27" s="20"/>
    </row>
    <row r="28" spans="2:21" ht="35.4" customHeight="1" thickBot="1" x14ac:dyDescent="0.35">
      <c r="B28" s="17" t="s">
        <v>34</v>
      </c>
      <c r="C28" s="30" t="s">
        <v>192</v>
      </c>
      <c r="D28" s="11" t="s">
        <v>31</v>
      </c>
      <c r="E28" s="39">
        <v>0</v>
      </c>
      <c r="F28" s="15"/>
      <c r="G28" s="124">
        <f>0.4*(182+2*74+32+3+2)+5</f>
        <v>151.80000000000001</v>
      </c>
      <c r="H28" s="115"/>
      <c r="I28" s="18"/>
      <c r="J28" s="19"/>
      <c r="K28" s="20"/>
    </row>
    <row r="29" spans="2:21" ht="31.95" customHeight="1" thickBot="1" x14ac:dyDescent="0.35">
      <c r="B29" s="17" t="s">
        <v>188</v>
      </c>
      <c r="C29" s="30" t="s">
        <v>189</v>
      </c>
      <c r="D29" s="11" t="s">
        <v>31</v>
      </c>
      <c r="E29" s="39">
        <v>0</v>
      </c>
      <c r="F29" s="15"/>
      <c r="G29" s="124">
        <f>(1+2*1+15+2+3+32)+5</f>
        <v>60</v>
      </c>
      <c r="H29" s="115"/>
      <c r="I29" s="18"/>
      <c r="J29" s="19"/>
      <c r="K29" s="20"/>
    </row>
    <row r="30" spans="2:21" ht="35.4" customHeight="1" thickBot="1" x14ac:dyDescent="0.35">
      <c r="B30" s="17" t="s">
        <v>188</v>
      </c>
      <c r="C30" s="30" t="s">
        <v>190</v>
      </c>
      <c r="D30" s="11" t="s">
        <v>31</v>
      </c>
      <c r="E30" s="39">
        <v>0</v>
      </c>
      <c r="F30" s="15"/>
      <c r="G30" s="124">
        <v>5</v>
      </c>
      <c r="H30" s="115"/>
      <c r="I30" s="18"/>
      <c r="J30" s="19"/>
      <c r="K30" s="20"/>
    </row>
    <row r="31" spans="2:21" ht="31.2" customHeight="1" thickBot="1" x14ac:dyDescent="0.35">
      <c r="B31" s="37" t="s">
        <v>36</v>
      </c>
      <c r="C31" s="38" t="s">
        <v>37</v>
      </c>
      <c r="D31" s="14" t="s">
        <v>31</v>
      </c>
      <c r="E31" s="39">
        <v>0</v>
      </c>
      <c r="F31" s="15"/>
      <c r="G31" s="124">
        <f>0.2*(32+2*10+5+1)</f>
        <v>11.600000000000001</v>
      </c>
      <c r="H31" s="115"/>
      <c r="I31" s="18"/>
      <c r="J31" s="19"/>
      <c r="K31" s="20"/>
    </row>
    <row r="32" spans="2:21" ht="35.4" customHeight="1" thickBot="1" x14ac:dyDescent="0.35">
      <c r="B32" s="37" t="s">
        <v>38</v>
      </c>
      <c r="C32" s="38" t="s">
        <v>193</v>
      </c>
      <c r="D32" s="14" t="s">
        <v>31</v>
      </c>
      <c r="E32" s="39">
        <v>0</v>
      </c>
      <c r="F32" s="15"/>
      <c r="G32" s="124">
        <f>0.8*(32+2*10+5+1)+5</f>
        <v>51.400000000000006</v>
      </c>
      <c r="H32" s="115"/>
      <c r="I32" s="18"/>
      <c r="J32" s="19"/>
      <c r="K32" s="20"/>
    </row>
    <row r="33" spans="2:23" ht="35.4" customHeight="1" thickBot="1" x14ac:dyDescent="0.35">
      <c r="B33" s="37" t="s">
        <v>39</v>
      </c>
      <c r="C33" s="38" t="s">
        <v>204</v>
      </c>
      <c r="D33" s="14" t="s">
        <v>31</v>
      </c>
      <c r="E33" s="39">
        <v>0</v>
      </c>
      <c r="F33" s="15"/>
      <c r="G33" s="124">
        <f>(2+5+3+1)+5</f>
        <v>16</v>
      </c>
      <c r="H33" s="115"/>
      <c r="I33" s="18"/>
      <c r="J33" s="19"/>
      <c r="K33" s="20"/>
    </row>
    <row r="34" spans="2:23" ht="33" customHeight="1" thickBot="1" x14ac:dyDescent="0.35">
      <c r="B34" s="17" t="s">
        <v>40</v>
      </c>
      <c r="C34" s="30" t="s">
        <v>194</v>
      </c>
      <c r="D34" s="11" t="s">
        <v>31</v>
      </c>
      <c r="E34" s="39">
        <v>0</v>
      </c>
      <c r="F34" s="15"/>
      <c r="G34" s="124">
        <f>E48*0.2</f>
        <v>106</v>
      </c>
      <c r="H34" s="115"/>
      <c r="I34" s="18"/>
      <c r="J34" s="19"/>
      <c r="K34" s="20"/>
    </row>
    <row r="35" spans="2:23" ht="35.4" customHeight="1" thickBot="1" x14ac:dyDescent="0.35">
      <c r="B35" s="17" t="s">
        <v>41</v>
      </c>
      <c r="C35" s="30" t="s">
        <v>198</v>
      </c>
      <c r="D35" s="11" t="s">
        <v>31</v>
      </c>
      <c r="E35" s="39">
        <v>0</v>
      </c>
      <c r="F35" s="15"/>
      <c r="G35" s="124">
        <f>E48*0.4</f>
        <v>212</v>
      </c>
      <c r="H35" s="115"/>
      <c r="I35" s="18"/>
      <c r="J35" s="19"/>
      <c r="K35" s="20"/>
    </row>
    <row r="36" spans="2:23" ht="35.4" customHeight="1" thickBot="1" x14ac:dyDescent="0.35">
      <c r="B36" s="37" t="s">
        <v>42</v>
      </c>
      <c r="C36" s="38" t="s">
        <v>199</v>
      </c>
      <c r="D36" s="14" t="s">
        <v>31</v>
      </c>
      <c r="E36" s="39">
        <v>0</v>
      </c>
      <c r="F36" s="15"/>
      <c r="G36" s="124">
        <f>E48*0.4</f>
        <v>212</v>
      </c>
      <c r="H36" s="115"/>
      <c r="I36" s="18"/>
      <c r="J36" s="19"/>
      <c r="K36" s="20"/>
    </row>
    <row r="37" spans="2:23" ht="35.4" customHeight="1" thickBot="1" x14ac:dyDescent="0.35">
      <c r="B37" s="37" t="s">
        <v>43</v>
      </c>
      <c r="C37" s="38" t="s">
        <v>195</v>
      </c>
      <c r="D37" s="14" t="s">
        <v>31</v>
      </c>
      <c r="E37" s="39">
        <v>0</v>
      </c>
      <c r="F37" s="15"/>
      <c r="G37" s="124">
        <f>SUM(E49:E50)*0.2</f>
        <v>14.600000000000001</v>
      </c>
      <c r="H37" s="115"/>
      <c r="I37" s="18"/>
      <c r="J37" s="19"/>
      <c r="K37" s="20"/>
    </row>
    <row r="38" spans="2:23" ht="35.4" customHeight="1" thickBot="1" x14ac:dyDescent="0.35">
      <c r="B38" s="17" t="s">
        <v>44</v>
      </c>
      <c r="C38" s="30" t="s">
        <v>196</v>
      </c>
      <c r="D38" s="11" t="s">
        <v>31</v>
      </c>
      <c r="E38" s="39">
        <v>0</v>
      </c>
      <c r="F38" s="15"/>
      <c r="G38" s="124">
        <f>SUM(E49:E50)*0.4</f>
        <v>29.200000000000003</v>
      </c>
      <c r="H38" s="115"/>
      <c r="I38" s="18"/>
      <c r="J38" s="19"/>
      <c r="K38" s="20"/>
    </row>
    <row r="39" spans="2:23" ht="35.4" customHeight="1" thickBot="1" x14ac:dyDescent="0.35">
      <c r="B39" s="37" t="s">
        <v>45</v>
      </c>
      <c r="C39" s="38" t="s">
        <v>200</v>
      </c>
      <c r="D39" s="14" t="s">
        <v>31</v>
      </c>
      <c r="E39" s="39">
        <v>0</v>
      </c>
      <c r="F39" s="15"/>
      <c r="G39" s="124">
        <f>SUM(E49:E50)*0.4</f>
        <v>29.200000000000003</v>
      </c>
      <c r="H39" s="115"/>
      <c r="I39" s="18"/>
      <c r="J39" s="19"/>
      <c r="K39" s="20"/>
    </row>
    <row r="40" spans="2:23" ht="35.4" customHeight="1" thickBot="1" x14ac:dyDescent="0.35">
      <c r="B40" s="17" t="s">
        <v>46</v>
      </c>
      <c r="C40" s="30" t="s">
        <v>47</v>
      </c>
      <c r="D40" s="11" t="s">
        <v>31</v>
      </c>
      <c r="E40" s="39">
        <v>0</v>
      </c>
      <c r="F40" s="15"/>
      <c r="G40" s="124">
        <v>0</v>
      </c>
      <c r="H40" s="115"/>
      <c r="I40" s="18"/>
      <c r="J40" s="19"/>
      <c r="K40" s="20"/>
    </row>
    <row r="41" spans="2:23" ht="35.4" customHeight="1" thickBot="1" x14ac:dyDescent="0.35">
      <c r="B41" s="17" t="s">
        <v>48</v>
      </c>
      <c r="C41" s="30" t="s">
        <v>201</v>
      </c>
      <c r="D41" s="11" t="s">
        <v>31</v>
      </c>
      <c r="E41" s="39">
        <v>0</v>
      </c>
      <c r="F41" s="15"/>
      <c r="G41" s="124">
        <v>0</v>
      </c>
      <c r="H41" s="115"/>
      <c r="I41" s="18"/>
      <c r="J41" s="19"/>
      <c r="K41" s="20"/>
    </row>
    <row r="42" spans="2:23" ht="29.4" customHeight="1" thickBot="1" x14ac:dyDescent="0.35">
      <c r="B42" s="17" t="s">
        <v>49</v>
      </c>
      <c r="C42" s="30" t="s">
        <v>202</v>
      </c>
      <c r="D42" s="11" t="s">
        <v>31</v>
      </c>
      <c r="E42" s="39">
        <v>0</v>
      </c>
      <c r="F42" s="15"/>
      <c r="G42" s="124">
        <v>0</v>
      </c>
      <c r="H42" s="115"/>
      <c r="I42" s="18"/>
      <c r="J42" s="19"/>
      <c r="K42" s="20"/>
    </row>
    <row r="43" spans="2:23" ht="27" customHeight="1" thickBot="1" x14ac:dyDescent="0.35">
      <c r="B43" s="37" t="s">
        <v>50</v>
      </c>
      <c r="C43" s="38" t="s">
        <v>51</v>
      </c>
      <c r="D43" s="14" t="s">
        <v>31</v>
      </c>
      <c r="E43" s="39">
        <v>0</v>
      </c>
      <c r="F43" s="15"/>
      <c r="G43" s="124">
        <f>SUM(E53:E54)*0.2</f>
        <v>21.200000000000003</v>
      </c>
      <c r="H43" s="115"/>
      <c r="I43" s="18"/>
      <c r="J43" s="19"/>
      <c r="K43" s="20"/>
    </row>
    <row r="44" spans="2:23" ht="30" customHeight="1" thickBot="1" x14ac:dyDescent="0.35">
      <c r="B44" s="17" t="s">
        <v>52</v>
      </c>
      <c r="C44" s="30" t="s">
        <v>203</v>
      </c>
      <c r="D44" s="11" t="s">
        <v>31</v>
      </c>
      <c r="E44" s="39">
        <v>0</v>
      </c>
      <c r="F44" s="15"/>
      <c r="G44" s="124">
        <f>SUM(E53:E54)*0.4</f>
        <v>42.400000000000006</v>
      </c>
      <c r="H44" s="115"/>
      <c r="I44" s="18"/>
      <c r="J44" s="19"/>
      <c r="K44" s="20"/>
      <c r="W44" t="s">
        <v>231</v>
      </c>
    </row>
    <row r="45" spans="2:23" ht="28.2" customHeight="1" thickBot="1" x14ac:dyDescent="0.35">
      <c r="B45" s="37" t="s">
        <v>53</v>
      </c>
      <c r="C45" s="38" t="s">
        <v>197</v>
      </c>
      <c r="D45" s="14" t="s">
        <v>31</v>
      </c>
      <c r="E45" s="39">
        <v>0</v>
      </c>
      <c r="F45" s="15"/>
      <c r="G45" s="124">
        <f>SUM(E53:E54)*0.4</f>
        <v>42.400000000000006</v>
      </c>
      <c r="H45" s="115"/>
      <c r="I45" s="18"/>
      <c r="J45" s="19"/>
      <c r="K45" s="20"/>
    </row>
    <row r="46" spans="2:23" ht="29.4" customHeight="1" thickBot="1" x14ac:dyDescent="0.35">
      <c r="B46" s="251" t="s">
        <v>17</v>
      </c>
      <c r="C46" s="252"/>
      <c r="D46" s="16"/>
      <c r="E46" s="119"/>
      <c r="F46" s="24"/>
      <c r="G46" s="187"/>
      <c r="H46" s="174"/>
      <c r="I46" s="41"/>
      <c r="J46" s="41"/>
      <c r="K46" s="42"/>
      <c r="V46" s="116"/>
    </row>
    <row r="47" spans="2:23" ht="31.2" customHeight="1" thickBot="1" x14ac:dyDescent="0.35">
      <c r="B47" s="107" t="s">
        <v>54</v>
      </c>
      <c r="C47" s="112" t="s">
        <v>205</v>
      </c>
      <c r="D47" s="113" t="s">
        <v>2</v>
      </c>
      <c r="E47" s="122" t="s">
        <v>3</v>
      </c>
      <c r="F47" s="114" t="s">
        <v>4</v>
      </c>
      <c r="G47" s="188" t="s">
        <v>5</v>
      </c>
      <c r="H47" s="176"/>
      <c r="I47" s="28" t="s">
        <v>7</v>
      </c>
      <c r="J47" s="29" t="s">
        <v>8</v>
      </c>
      <c r="K47" s="107" t="s">
        <v>9</v>
      </c>
      <c r="V47" t="s">
        <v>4</v>
      </c>
      <c r="W47" s="116">
        <v>1.08</v>
      </c>
    </row>
    <row r="48" spans="2:23" ht="31.2" customHeight="1" thickBot="1" x14ac:dyDescent="0.35">
      <c r="B48" s="17">
        <v>1</v>
      </c>
      <c r="C48" s="30" t="s">
        <v>56</v>
      </c>
      <c r="D48" s="11" t="s">
        <v>31</v>
      </c>
      <c r="E48" s="43">
        <f>510+20</f>
        <v>530</v>
      </c>
      <c r="F48" s="51"/>
      <c r="G48" s="124">
        <f>E48</f>
        <v>530</v>
      </c>
      <c r="H48" s="115"/>
      <c r="I48" s="44"/>
      <c r="J48" s="44"/>
      <c r="K48" s="45"/>
      <c r="V48">
        <v>577</v>
      </c>
      <c r="W48">
        <f>V48*$W$47</f>
        <v>623.16000000000008</v>
      </c>
    </row>
    <row r="49" spans="2:23" ht="31.2" customHeight="1" thickBot="1" x14ac:dyDescent="0.35">
      <c r="B49" s="17">
        <v>2</v>
      </c>
      <c r="C49" s="30" t="s">
        <v>57</v>
      </c>
      <c r="D49" s="11" t="s">
        <v>31</v>
      </c>
      <c r="E49" s="43">
        <f>10+38</f>
        <v>48</v>
      </c>
      <c r="F49" s="51"/>
      <c r="G49" s="124">
        <f t="shared" ref="G49:G56" si="3">E49</f>
        <v>48</v>
      </c>
      <c r="H49" s="115"/>
      <c r="I49" s="44"/>
      <c r="J49" s="44"/>
      <c r="K49" s="45"/>
      <c r="V49">
        <v>887</v>
      </c>
      <c r="W49">
        <f t="shared" ref="W49:W78" si="4">V49*$W$47</f>
        <v>957.96</v>
      </c>
    </row>
    <row r="50" spans="2:23" ht="31.2" customHeight="1" thickBot="1" x14ac:dyDescent="0.35">
      <c r="B50" s="17">
        <v>3</v>
      </c>
      <c r="C50" s="30" t="s">
        <v>181</v>
      </c>
      <c r="D50" s="11" t="s">
        <v>31</v>
      </c>
      <c r="E50" s="43">
        <v>25</v>
      </c>
      <c r="F50" s="51"/>
      <c r="G50" s="124">
        <f t="shared" si="3"/>
        <v>25</v>
      </c>
      <c r="H50" s="115"/>
      <c r="I50" s="44"/>
      <c r="J50" s="44"/>
      <c r="K50" s="45"/>
      <c r="V50">
        <v>1335</v>
      </c>
      <c r="W50">
        <f t="shared" si="4"/>
        <v>1441.8000000000002</v>
      </c>
    </row>
    <row r="51" spans="2:23" ht="31.2" customHeight="1" thickBot="1" x14ac:dyDescent="0.35">
      <c r="B51" s="17">
        <v>4</v>
      </c>
      <c r="C51" s="30" t="s">
        <v>58</v>
      </c>
      <c r="D51" s="11" t="s">
        <v>31</v>
      </c>
      <c r="E51" s="43">
        <v>0</v>
      </c>
      <c r="F51" s="51"/>
      <c r="G51" s="124">
        <f t="shared" si="3"/>
        <v>0</v>
      </c>
      <c r="H51" s="115"/>
      <c r="I51" s="44"/>
      <c r="J51" s="44"/>
      <c r="K51" s="45"/>
      <c r="V51">
        <v>0</v>
      </c>
      <c r="W51">
        <f t="shared" si="4"/>
        <v>0</v>
      </c>
    </row>
    <row r="52" spans="2:23" ht="31.2" customHeight="1" thickBot="1" x14ac:dyDescent="0.35">
      <c r="B52" s="17">
        <v>5</v>
      </c>
      <c r="C52" s="30" t="s">
        <v>59</v>
      </c>
      <c r="D52" s="11" t="s">
        <v>31</v>
      </c>
      <c r="E52" s="43">
        <v>0</v>
      </c>
      <c r="F52" s="51"/>
      <c r="G52" s="124">
        <f t="shared" si="3"/>
        <v>0</v>
      </c>
      <c r="H52" s="115"/>
      <c r="I52" s="44"/>
      <c r="J52" s="44"/>
      <c r="K52" s="45"/>
      <c r="V52">
        <v>0</v>
      </c>
      <c r="W52">
        <f t="shared" si="4"/>
        <v>0</v>
      </c>
    </row>
    <row r="53" spans="2:23" ht="31.2" customHeight="1" thickBot="1" x14ac:dyDescent="0.35">
      <c r="B53" s="17">
        <v>6</v>
      </c>
      <c r="C53" s="30" t="s">
        <v>60</v>
      </c>
      <c r="D53" s="11" t="s">
        <v>31</v>
      </c>
      <c r="E53" s="43">
        <f>45+20</f>
        <v>65</v>
      </c>
      <c r="F53" s="51"/>
      <c r="G53" s="124">
        <f t="shared" si="3"/>
        <v>65</v>
      </c>
      <c r="H53" s="115"/>
      <c r="I53" s="44"/>
      <c r="J53" s="44"/>
      <c r="K53" s="45"/>
      <c r="V53">
        <v>1806.29</v>
      </c>
      <c r="W53">
        <f t="shared" si="4"/>
        <v>1950.7932000000001</v>
      </c>
    </row>
    <row r="54" spans="2:23" ht="31.2" customHeight="1" thickBot="1" x14ac:dyDescent="0.35">
      <c r="B54" s="17">
        <v>7</v>
      </c>
      <c r="C54" s="30" t="s">
        <v>61</v>
      </c>
      <c r="D54" s="11" t="s">
        <v>31</v>
      </c>
      <c r="E54" s="43">
        <f>(18+13)+10</f>
        <v>41</v>
      </c>
      <c r="F54" s="51"/>
      <c r="G54" s="124">
        <f t="shared" si="3"/>
        <v>41</v>
      </c>
      <c r="H54" s="115"/>
      <c r="I54" s="44"/>
      <c r="J54" s="44"/>
      <c r="K54" s="45"/>
      <c r="V54">
        <v>2071</v>
      </c>
      <c r="W54">
        <f t="shared" si="4"/>
        <v>2236.6800000000003</v>
      </c>
    </row>
    <row r="55" spans="2:23" ht="31.2" customHeight="1" thickBot="1" x14ac:dyDescent="0.35">
      <c r="B55" s="17">
        <v>8</v>
      </c>
      <c r="C55" s="30" t="s">
        <v>185</v>
      </c>
      <c r="D55" s="11" t="s">
        <v>31</v>
      </c>
      <c r="E55" s="43">
        <v>0</v>
      </c>
      <c r="F55" s="51"/>
      <c r="G55" s="124">
        <f t="shared" si="3"/>
        <v>0</v>
      </c>
      <c r="H55" s="115"/>
      <c r="I55" s="44"/>
      <c r="J55" s="44"/>
      <c r="K55" s="45"/>
      <c r="V55">
        <v>0</v>
      </c>
      <c r="W55">
        <f t="shared" si="4"/>
        <v>0</v>
      </c>
    </row>
    <row r="56" spans="2:23" ht="31.2" customHeight="1" thickBot="1" x14ac:dyDescent="0.35">
      <c r="B56" s="17">
        <v>9</v>
      </c>
      <c r="C56" s="30" t="s">
        <v>62</v>
      </c>
      <c r="D56" s="11" t="s">
        <v>31</v>
      </c>
      <c r="E56" s="46">
        <v>0</v>
      </c>
      <c r="F56" s="51"/>
      <c r="G56" s="124">
        <f t="shared" si="3"/>
        <v>0</v>
      </c>
      <c r="H56" s="115"/>
      <c r="I56" s="44"/>
      <c r="J56" s="44"/>
      <c r="K56" s="45"/>
      <c r="V56">
        <f>1.1*V54</f>
        <v>2278.1000000000004</v>
      </c>
      <c r="W56">
        <f t="shared" si="4"/>
        <v>2460.3480000000004</v>
      </c>
    </row>
    <row r="57" spans="2:23" ht="31.2" customHeight="1" thickBot="1" x14ac:dyDescent="0.35">
      <c r="B57" s="253" t="s">
        <v>17</v>
      </c>
      <c r="C57" s="254"/>
      <c r="D57" s="16"/>
      <c r="E57" s="123"/>
      <c r="F57" s="47"/>
      <c r="G57" s="187"/>
      <c r="H57" s="177"/>
      <c r="I57" s="36"/>
      <c r="J57" s="36"/>
      <c r="K57" s="25"/>
      <c r="W57">
        <f t="shared" si="4"/>
        <v>0</v>
      </c>
    </row>
    <row r="58" spans="2:23" ht="31.2" customHeight="1" thickBot="1" x14ac:dyDescent="0.35">
      <c r="B58" s="9" t="s">
        <v>63</v>
      </c>
      <c r="C58" s="10" t="s">
        <v>235</v>
      </c>
      <c r="D58" s="26" t="s">
        <v>2</v>
      </c>
      <c r="E58" s="120" t="s">
        <v>3</v>
      </c>
      <c r="F58" s="27" t="s">
        <v>4</v>
      </c>
      <c r="G58" s="189" t="s">
        <v>5</v>
      </c>
      <c r="H58" s="175" t="s">
        <v>6</v>
      </c>
      <c r="I58" s="28" t="s">
        <v>7</v>
      </c>
      <c r="J58" s="29" t="s">
        <v>8</v>
      </c>
      <c r="K58" s="9" t="s">
        <v>9</v>
      </c>
      <c r="V58" t="s">
        <v>4</v>
      </c>
      <c r="W58" t="e">
        <f t="shared" si="4"/>
        <v>#VALUE!</v>
      </c>
    </row>
    <row r="59" spans="2:23" ht="31.2" customHeight="1" thickBot="1" x14ac:dyDescent="0.35">
      <c r="B59" s="17"/>
      <c r="C59" s="10" t="s">
        <v>64</v>
      </c>
      <c r="D59" s="11"/>
      <c r="E59" s="39"/>
      <c r="F59" s="15"/>
      <c r="G59" s="124"/>
      <c r="H59" s="173"/>
      <c r="I59" s="48"/>
      <c r="J59" s="49"/>
      <c r="K59" s="17"/>
      <c r="W59">
        <f t="shared" si="4"/>
        <v>0</v>
      </c>
    </row>
    <row r="60" spans="2:23" ht="31.2" customHeight="1" thickBot="1" x14ac:dyDescent="0.35">
      <c r="B60" s="17">
        <v>1</v>
      </c>
      <c r="C60" s="30" t="s">
        <v>65</v>
      </c>
      <c r="D60" s="11" t="s">
        <v>31</v>
      </c>
      <c r="E60" s="39">
        <v>0</v>
      </c>
      <c r="F60" s="15">
        <v>0</v>
      </c>
      <c r="G60" s="124">
        <f>E60</f>
        <v>0</v>
      </c>
      <c r="H60" s="173">
        <v>0</v>
      </c>
      <c r="I60" s="48">
        <f t="shared" ref="I60" si="5">E60*F60</f>
        <v>0</v>
      </c>
      <c r="J60" s="49">
        <f t="shared" ref="J60" si="6">G60*H60</f>
        <v>0</v>
      </c>
      <c r="K60" s="17">
        <f t="shared" ref="K60" si="7">I60+J60</f>
        <v>0</v>
      </c>
      <c r="V60">
        <v>0</v>
      </c>
      <c r="W60">
        <f t="shared" si="4"/>
        <v>0</v>
      </c>
    </row>
    <row r="61" spans="2:23" ht="31.2" customHeight="1" thickBot="1" x14ac:dyDescent="0.35">
      <c r="B61" s="17">
        <v>2</v>
      </c>
      <c r="C61" s="30" t="s">
        <v>66</v>
      </c>
      <c r="D61" s="11" t="s">
        <v>31</v>
      </c>
      <c r="E61" s="39">
        <v>0</v>
      </c>
      <c r="F61" s="15">
        <v>0</v>
      </c>
      <c r="G61" s="124">
        <f t="shared" ref="G61:G73" si="8">E61</f>
        <v>0</v>
      </c>
      <c r="H61" s="173">
        <v>0</v>
      </c>
      <c r="I61" s="48">
        <f t="shared" ref="I61:I73" si="9">E61*F61</f>
        <v>0</v>
      </c>
      <c r="J61" s="49">
        <f t="shared" ref="J61:J73" si="10">G61*H61</f>
        <v>0</v>
      </c>
      <c r="K61" s="17">
        <f t="shared" ref="K61:K73" si="11">I61+J61</f>
        <v>0</v>
      </c>
      <c r="V61">
        <v>0</v>
      </c>
      <c r="W61">
        <f t="shared" si="4"/>
        <v>0</v>
      </c>
    </row>
    <row r="62" spans="2:23" ht="31.2" customHeight="1" thickBot="1" x14ac:dyDescent="0.35">
      <c r="B62" s="17">
        <v>3</v>
      </c>
      <c r="C62" s="30" t="s">
        <v>67</v>
      </c>
      <c r="D62" s="11" t="s">
        <v>31</v>
      </c>
      <c r="E62" s="39">
        <v>0</v>
      </c>
      <c r="F62" s="15">
        <v>0</v>
      </c>
      <c r="G62" s="124">
        <f t="shared" si="8"/>
        <v>0</v>
      </c>
      <c r="H62" s="173">
        <v>0</v>
      </c>
      <c r="I62" s="48">
        <f t="shared" si="9"/>
        <v>0</v>
      </c>
      <c r="J62" s="49">
        <f t="shared" si="10"/>
        <v>0</v>
      </c>
      <c r="K62" s="17">
        <f t="shared" si="11"/>
        <v>0</v>
      </c>
      <c r="V62">
        <v>0</v>
      </c>
      <c r="W62">
        <f t="shared" si="4"/>
        <v>0</v>
      </c>
    </row>
    <row r="63" spans="2:23" ht="31.2" customHeight="1" thickBot="1" x14ac:dyDescent="0.35">
      <c r="B63" s="17">
        <v>4</v>
      </c>
      <c r="C63" s="30" t="s">
        <v>68</v>
      </c>
      <c r="D63" s="11" t="s">
        <v>31</v>
      </c>
      <c r="E63" s="39">
        <v>0</v>
      </c>
      <c r="F63" s="15">
        <v>0</v>
      </c>
      <c r="G63" s="124">
        <f t="shared" si="8"/>
        <v>0</v>
      </c>
      <c r="H63" s="173">
        <v>0</v>
      </c>
      <c r="I63" s="48">
        <f t="shared" si="9"/>
        <v>0</v>
      </c>
      <c r="J63" s="49">
        <f t="shared" si="10"/>
        <v>0</v>
      </c>
      <c r="K63" s="17">
        <f t="shared" si="11"/>
        <v>0</v>
      </c>
      <c r="V63">
        <v>0</v>
      </c>
      <c r="W63">
        <f t="shared" si="4"/>
        <v>0</v>
      </c>
    </row>
    <row r="64" spans="2:23" ht="31.2" customHeight="1" thickBot="1" x14ac:dyDescent="0.35">
      <c r="B64" s="17">
        <v>5</v>
      </c>
      <c r="C64" s="30" t="s">
        <v>69</v>
      </c>
      <c r="D64" s="11" t="s">
        <v>31</v>
      </c>
      <c r="E64" s="39">
        <v>0</v>
      </c>
      <c r="F64" s="15">
        <v>0</v>
      </c>
      <c r="G64" s="124">
        <f t="shared" si="8"/>
        <v>0</v>
      </c>
      <c r="H64" s="173">
        <v>0</v>
      </c>
      <c r="I64" s="48">
        <f t="shared" si="9"/>
        <v>0</v>
      </c>
      <c r="J64" s="49">
        <f t="shared" si="10"/>
        <v>0</v>
      </c>
      <c r="K64" s="17">
        <f t="shared" si="11"/>
        <v>0</v>
      </c>
      <c r="V64">
        <v>0</v>
      </c>
      <c r="W64">
        <f t="shared" si="4"/>
        <v>0</v>
      </c>
    </row>
    <row r="65" spans="2:23" ht="31.2" customHeight="1" thickBot="1" x14ac:dyDescent="0.35">
      <c r="B65" s="17">
        <v>6</v>
      </c>
      <c r="C65" s="30" t="s">
        <v>70</v>
      </c>
      <c r="D65" s="11" t="s">
        <v>31</v>
      </c>
      <c r="E65" s="39">
        <v>0</v>
      </c>
      <c r="F65" s="15">
        <v>0</v>
      </c>
      <c r="G65" s="124">
        <f t="shared" si="8"/>
        <v>0</v>
      </c>
      <c r="H65" s="173">
        <v>0</v>
      </c>
      <c r="I65" s="48">
        <f t="shared" si="9"/>
        <v>0</v>
      </c>
      <c r="J65" s="49">
        <f t="shared" si="10"/>
        <v>0</v>
      </c>
      <c r="K65" s="17">
        <f t="shared" si="11"/>
        <v>0</v>
      </c>
      <c r="V65">
        <v>0</v>
      </c>
      <c r="W65">
        <f t="shared" si="4"/>
        <v>0</v>
      </c>
    </row>
    <row r="66" spans="2:23" ht="31.2" customHeight="1" thickBot="1" x14ac:dyDescent="0.35">
      <c r="B66" s="17">
        <v>7</v>
      </c>
      <c r="C66" s="30" t="s">
        <v>71</v>
      </c>
      <c r="D66" s="11" t="s">
        <v>31</v>
      </c>
      <c r="E66" s="39">
        <v>0</v>
      </c>
      <c r="F66" s="15">
        <v>0</v>
      </c>
      <c r="G66" s="124">
        <f t="shared" si="8"/>
        <v>0</v>
      </c>
      <c r="H66" s="173">
        <v>0</v>
      </c>
      <c r="I66" s="48">
        <f t="shared" si="9"/>
        <v>0</v>
      </c>
      <c r="J66" s="49">
        <f t="shared" si="10"/>
        <v>0</v>
      </c>
      <c r="K66" s="17">
        <f t="shared" si="11"/>
        <v>0</v>
      </c>
      <c r="V66">
        <v>0</v>
      </c>
      <c r="W66">
        <f t="shared" si="4"/>
        <v>0</v>
      </c>
    </row>
    <row r="67" spans="2:23" ht="31.2" customHeight="1" thickBot="1" x14ac:dyDescent="0.35">
      <c r="B67" s="17">
        <v>8</v>
      </c>
      <c r="C67" s="30" t="s">
        <v>72</v>
      </c>
      <c r="D67" s="11" t="s">
        <v>31</v>
      </c>
      <c r="E67" s="39">
        <v>0</v>
      </c>
      <c r="F67" s="15">
        <v>0</v>
      </c>
      <c r="G67" s="124">
        <f t="shared" si="8"/>
        <v>0</v>
      </c>
      <c r="H67" s="173">
        <v>0</v>
      </c>
      <c r="I67" s="48">
        <f t="shared" si="9"/>
        <v>0</v>
      </c>
      <c r="J67" s="49">
        <f t="shared" si="10"/>
        <v>0</v>
      </c>
      <c r="K67" s="17">
        <f t="shared" si="11"/>
        <v>0</v>
      </c>
      <c r="V67">
        <v>0</v>
      </c>
      <c r="W67">
        <f t="shared" si="4"/>
        <v>0</v>
      </c>
    </row>
    <row r="68" spans="2:23" ht="31.2" customHeight="1" thickBot="1" x14ac:dyDescent="0.35">
      <c r="B68" s="17">
        <v>9</v>
      </c>
      <c r="C68" s="30" t="s">
        <v>73</v>
      </c>
      <c r="D68" s="11" t="s">
        <v>31</v>
      </c>
      <c r="E68" s="39">
        <v>0</v>
      </c>
      <c r="F68" s="15">
        <v>0</v>
      </c>
      <c r="G68" s="124">
        <f t="shared" si="8"/>
        <v>0</v>
      </c>
      <c r="H68" s="173">
        <v>0</v>
      </c>
      <c r="I68" s="48">
        <f t="shared" si="9"/>
        <v>0</v>
      </c>
      <c r="J68" s="49">
        <f t="shared" si="10"/>
        <v>0</v>
      </c>
      <c r="K68" s="17">
        <f t="shared" si="11"/>
        <v>0</v>
      </c>
      <c r="V68">
        <v>0</v>
      </c>
      <c r="W68">
        <f t="shared" si="4"/>
        <v>0</v>
      </c>
    </row>
    <row r="69" spans="2:23" ht="31.2" customHeight="1" thickBot="1" x14ac:dyDescent="0.35">
      <c r="B69" s="17">
        <v>10</v>
      </c>
      <c r="C69" s="30" t="s">
        <v>74</v>
      </c>
      <c r="D69" s="11" t="s">
        <v>31</v>
      </c>
      <c r="E69" s="39">
        <v>0</v>
      </c>
      <c r="F69" s="15">
        <v>0</v>
      </c>
      <c r="G69" s="124">
        <f t="shared" si="8"/>
        <v>0</v>
      </c>
      <c r="H69" s="173">
        <v>0</v>
      </c>
      <c r="I69" s="48">
        <f t="shared" si="9"/>
        <v>0</v>
      </c>
      <c r="J69" s="49">
        <f t="shared" si="10"/>
        <v>0</v>
      </c>
      <c r="K69" s="17">
        <f t="shared" si="11"/>
        <v>0</v>
      </c>
      <c r="V69">
        <v>0</v>
      </c>
      <c r="W69">
        <f t="shared" si="4"/>
        <v>0</v>
      </c>
    </row>
    <row r="70" spans="2:23" ht="31.2" customHeight="1" thickBot="1" x14ac:dyDescent="0.35">
      <c r="B70" s="17">
        <v>11</v>
      </c>
      <c r="C70" s="30" t="s">
        <v>75</v>
      </c>
      <c r="D70" s="11" t="s">
        <v>31</v>
      </c>
      <c r="E70" s="39">
        <v>0</v>
      </c>
      <c r="F70" s="15">
        <v>0</v>
      </c>
      <c r="G70" s="124">
        <f t="shared" si="8"/>
        <v>0</v>
      </c>
      <c r="H70" s="173">
        <v>0</v>
      </c>
      <c r="I70" s="48">
        <f t="shared" si="9"/>
        <v>0</v>
      </c>
      <c r="J70" s="49">
        <f t="shared" si="10"/>
        <v>0</v>
      </c>
      <c r="K70" s="17">
        <f t="shared" si="11"/>
        <v>0</v>
      </c>
      <c r="V70">
        <v>0</v>
      </c>
      <c r="W70">
        <f t="shared" si="4"/>
        <v>0</v>
      </c>
    </row>
    <row r="71" spans="2:23" ht="31.2" customHeight="1" thickBot="1" x14ac:dyDescent="0.35">
      <c r="B71" s="17">
        <v>12</v>
      </c>
      <c r="C71" s="30" t="s">
        <v>76</v>
      </c>
      <c r="D71" s="11" t="s">
        <v>31</v>
      </c>
      <c r="E71" s="39">
        <v>0</v>
      </c>
      <c r="F71" s="15">
        <v>0</v>
      </c>
      <c r="G71" s="124">
        <f t="shared" si="8"/>
        <v>0</v>
      </c>
      <c r="H71" s="173">
        <v>0</v>
      </c>
      <c r="I71" s="48">
        <f t="shared" si="9"/>
        <v>0</v>
      </c>
      <c r="J71" s="49">
        <f t="shared" si="10"/>
        <v>0</v>
      </c>
      <c r="K71" s="17">
        <f t="shared" si="11"/>
        <v>0</v>
      </c>
      <c r="V71">
        <v>0</v>
      </c>
      <c r="W71">
        <f t="shared" si="4"/>
        <v>0</v>
      </c>
    </row>
    <row r="72" spans="2:23" ht="31.2" customHeight="1" thickBot="1" x14ac:dyDescent="0.35">
      <c r="B72" s="17">
        <v>13</v>
      </c>
      <c r="C72" s="30" t="s">
        <v>77</v>
      </c>
      <c r="D72" s="11" t="s">
        <v>31</v>
      </c>
      <c r="E72" s="39">
        <v>0</v>
      </c>
      <c r="F72" s="15">
        <v>0</v>
      </c>
      <c r="G72" s="124">
        <f t="shared" si="8"/>
        <v>0</v>
      </c>
      <c r="H72" s="173">
        <v>0</v>
      </c>
      <c r="I72" s="48">
        <f t="shared" si="9"/>
        <v>0</v>
      </c>
      <c r="J72" s="49">
        <f t="shared" si="10"/>
        <v>0</v>
      </c>
      <c r="K72" s="17">
        <f t="shared" si="11"/>
        <v>0</v>
      </c>
      <c r="V72">
        <v>0</v>
      </c>
      <c r="W72">
        <f t="shared" si="4"/>
        <v>0</v>
      </c>
    </row>
    <row r="73" spans="2:23" ht="31.2" customHeight="1" thickBot="1" x14ac:dyDescent="0.35">
      <c r="B73" s="17">
        <v>14</v>
      </c>
      <c r="C73" s="30" t="s">
        <v>78</v>
      </c>
      <c r="D73" s="11" t="s">
        <v>31</v>
      </c>
      <c r="E73" s="39">
        <v>0</v>
      </c>
      <c r="F73" s="15">
        <v>0</v>
      </c>
      <c r="G73" s="124">
        <f t="shared" si="8"/>
        <v>0</v>
      </c>
      <c r="H73" s="173">
        <v>0</v>
      </c>
      <c r="I73" s="48">
        <f t="shared" si="9"/>
        <v>0</v>
      </c>
      <c r="J73" s="49">
        <f t="shared" si="10"/>
        <v>0</v>
      </c>
      <c r="K73" s="17">
        <f t="shared" si="11"/>
        <v>0</v>
      </c>
      <c r="V73">
        <v>0</v>
      </c>
      <c r="W73">
        <f t="shared" si="4"/>
        <v>0</v>
      </c>
    </row>
    <row r="74" spans="2:23" ht="31.2" customHeight="1" thickBot="1" x14ac:dyDescent="0.35">
      <c r="B74" s="50"/>
      <c r="C74" s="10" t="s">
        <v>79</v>
      </c>
      <c r="D74" s="26"/>
      <c r="E74" s="120"/>
      <c r="F74" s="27"/>
      <c r="G74" s="189"/>
      <c r="H74" s="175"/>
      <c r="I74" s="28"/>
      <c r="J74" s="29"/>
      <c r="K74" s="9"/>
      <c r="V74" t="s">
        <v>4</v>
      </c>
      <c r="W74" t="e">
        <f t="shared" si="4"/>
        <v>#VALUE!</v>
      </c>
    </row>
    <row r="75" spans="2:23" ht="31.2" customHeight="1" thickBot="1" x14ac:dyDescent="0.35">
      <c r="B75" s="17">
        <v>1</v>
      </c>
      <c r="C75" s="30" t="s">
        <v>65</v>
      </c>
      <c r="D75" s="11" t="s">
        <v>31</v>
      </c>
      <c r="E75" s="39">
        <v>0</v>
      </c>
      <c r="F75" s="51"/>
      <c r="G75" s="124">
        <f>E75</f>
        <v>0</v>
      </c>
      <c r="H75" s="173"/>
      <c r="I75" s="18"/>
      <c r="J75" s="19"/>
      <c r="K75" s="20"/>
      <c r="V75">
        <v>0</v>
      </c>
      <c r="W75">
        <f t="shared" si="4"/>
        <v>0</v>
      </c>
    </row>
    <row r="76" spans="2:23" ht="31.2" customHeight="1" thickBot="1" x14ac:dyDescent="0.35">
      <c r="B76" s="17">
        <v>2</v>
      </c>
      <c r="C76" s="30" t="s">
        <v>229</v>
      </c>
      <c r="D76" s="11" t="s">
        <v>31</v>
      </c>
      <c r="E76" s="39">
        <f>38+5</f>
        <v>43</v>
      </c>
      <c r="F76" s="51"/>
      <c r="G76" s="124">
        <f t="shared" ref="G76:G86" si="12">E76</f>
        <v>43</v>
      </c>
      <c r="H76" s="173"/>
      <c r="I76" s="18"/>
      <c r="J76" s="19"/>
      <c r="K76" s="20"/>
      <c r="V76">
        <v>1364.528</v>
      </c>
      <c r="W76">
        <f t="shared" si="4"/>
        <v>1473.6902400000001</v>
      </c>
    </row>
    <row r="77" spans="2:23" ht="31.2" customHeight="1" thickBot="1" x14ac:dyDescent="0.35">
      <c r="B77" s="17">
        <v>3</v>
      </c>
      <c r="C77" s="30" t="s">
        <v>230</v>
      </c>
      <c r="D77" s="11" t="s">
        <v>31</v>
      </c>
      <c r="E77" s="39">
        <v>7</v>
      </c>
      <c r="F77" s="51"/>
      <c r="G77" s="124">
        <f t="shared" si="12"/>
        <v>7</v>
      </c>
      <c r="H77" s="173"/>
      <c r="I77" s="18"/>
      <c r="J77" s="19"/>
      <c r="K77" s="20"/>
      <c r="V77">
        <v>1849.9030000000002</v>
      </c>
      <c r="W77">
        <f t="shared" si="4"/>
        <v>1997.8952400000003</v>
      </c>
    </row>
    <row r="78" spans="2:23" ht="31.2" customHeight="1" thickBot="1" x14ac:dyDescent="0.35">
      <c r="B78" s="17">
        <v>4</v>
      </c>
      <c r="C78" s="30" t="s">
        <v>186</v>
      </c>
      <c r="D78" s="11" t="s">
        <v>31</v>
      </c>
      <c r="E78" s="39">
        <v>0</v>
      </c>
      <c r="F78" s="51"/>
      <c r="G78" s="124">
        <f t="shared" si="12"/>
        <v>0</v>
      </c>
      <c r="H78" s="173"/>
      <c r="I78" s="18"/>
      <c r="J78" s="19"/>
      <c r="K78" s="20"/>
      <c r="V78">
        <v>0</v>
      </c>
      <c r="W78">
        <f t="shared" si="4"/>
        <v>0</v>
      </c>
    </row>
    <row r="79" spans="2:23" ht="31.2" customHeight="1" thickBot="1" x14ac:dyDescent="0.35">
      <c r="B79" s="17">
        <v>5</v>
      </c>
      <c r="C79" s="30" t="s">
        <v>69</v>
      </c>
      <c r="D79" s="11" t="s">
        <v>31</v>
      </c>
      <c r="E79" s="39">
        <v>0</v>
      </c>
      <c r="F79" s="51"/>
      <c r="G79" s="124">
        <f t="shared" si="12"/>
        <v>0</v>
      </c>
      <c r="H79" s="173"/>
      <c r="I79" s="18"/>
      <c r="J79" s="19"/>
      <c r="K79" s="20"/>
      <c r="V79">
        <v>0</v>
      </c>
      <c r="W79">
        <f t="shared" ref="W79:W111" si="13">V79*$W$47</f>
        <v>0</v>
      </c>
    </row>
    <row r="80" spans="2:23" ht="31.2" customHeight="1" thickBot="1" x14ac:dyDescent="0.35">
      <c r="B80" s="17">
        <v>6</v>
      </c>
      <c r="C80" s="30" t="s">
        <v>71</v>
      </c>
      <c r="D80" s="11" t="s">
        <v>31</v>
      </c>
      <c r="E80" s="39">
        <v>0</v>
      </c>
      <c r="F80" s="51"/>
      <c r="G80" s="124">
        <f t="shared" si="12"/>
        <v>0</v>
      </c>
      <c r="H80" s="173"/>
      <c r="I80" s="18"/>
      <c r="J80" s="19"/>
      <c r="K80" s="20"/>
      <c r="V80">
        <v>0</v>
      </c>
      <c r="W80">
        <f t="shared" si="13"/>
        <v>0</v>
      </c>
    </row>
    <row r="81" spans="2:23" ht="31.2" customHeight="1" thickBot="1" x14ac:dyDescent="0.35">
      <c r="B81" s="17">
        <v>7</v>
      </c>
      <c r="C81" s="30" t="s">
        <v>72</v>
      </c>
      <c r="D81" s="11" t="s">
        <v>31</v>
      </c>
      <c r="E81" s="39">
        <v>0</v>
      </c>
      <c r="F81" s="51"/>
      <c r="G81" s="124">
        <f t="shared" si="12"/>
        <v>0</v>
      </c>
      <c r="H81" s="173"/>
      <c r="I81" s="18"/>
      <c r="J81" s="19"/>
      <c r="K81" s="20"/>
      <c r="V81">
        <v>0</v>
      </c>
      <c r="W81">
        <f t="shared" si="13"/>
        <v>0</v>
      </c>
    </row>
    <row r="82" spans="2:23" ht="31.2" customHeight="1" thickBot="1" x14ac:dyDescent="0.35">
      <c r="B82" s="17">
        <v>8</v>
      </c>
      <c r="C82" s="30" t="s">
        <v>209</v>
      </c>
      <c r="D82" s="11" t="s">
        <v>31</v>
      </c>
      <c r="E82" s="39">
        <v>14</v>
      </c>
      <c r="F82" s="51"/>
      <c r="G82" s="124">
        <f t="shared" si="12"/>
        <v>14</v>
      </c>
      <c r="H82" s="173"/>
      <c r="I82" s="18"/>
      <c r="J82" s="19"/>
      <c r="K82" s="20"/>
      <c r="V82">
        <v>1774.7950000000003</v>
      </c>
      <c r="W82">
        <f t="shared" si="13"/>
        <v>1916.7786000000006</v>
      </c>
    </row>
    <row r="83" spans="2:23" ht="31.2" customHeight="1" thickBot="1" x14ac:dyDescent="0.35">
      <c r="B83" s="17">
        <v>9</v>
      </c>
      <c r="C83" s="30" t="s">
        <v>74</v>
      </c>
      <c r="D83" s="11" t="s">
        <v>31</v>
      </c>
      <c r="E83" s="39">
        <v>0</v>
      </c>
      <c r="F83" s="51"/>
      <c r="G83" s="124">
        <f t="shared" si="12"/>
        <v>0</v>
      </c>
      <c r="H83" s="173"/>
      <c r="I83" s="18"/>
      <c r="J83" s="19"/>
      <c r="K83" s="20"/>
      <c r="V83">
        <v>1200</v>
      </c>
      <c r="W83">
        <f t="shared" si="13"/>
        <v>1296</v>
      </c>
    </row>
    <row r="84" spans="2:23" ht="31.2" customHeight="1" thickBot="1" x14ac:dyDescent="0.35">
      <c r="B84" s="17">
        <v>10</v>
      </c>
      <c r="C84" s="30" t="s">
        <v>208</v>
      </c>
      <c r="D84" s="11" t="s">
        <v>31</v>
      </c>
      <c r="E84" s="39">
        <f>17+5</f>
        <v>22</v>
      </c>
      <c r="F84" s="51"/>
      <c r="G84" s="124">
        <f t="shared" si="12"/>
        <v>22</v>
      </c>
      <c r="H84" s="173"/>
      <c r="I84" s="18"/>
      <c r="J84" s="19"/>
      <c r="K84" s="20"/>
      <c r="V84">
        <f>2602.89*1.1</f>
        <v>2863.1790000000001</v>
      </c>
      <c r="W84">
        <f t="shared" si="13"/>
        <v>3092.2333200000003</v>
      </c>
    </row>
    <row r="85" spans="2:23" ht="31.2" customHeight="1" thickBot="1" x14ac:dyDescent="0.35">
      <c r="B85" s="17">
        <v>11</v>
      </c>
      <c r="C85" s="30" t="s">
        <v>210</v>
      </c>
      <c r="D85" s="11" t="s">
        <v>31</v>
      </c>
      <c r="E85" s="39">
        <f>15+3</f>
        <v>18</v>
      </c>
      <c r="F85" s="51"/>
      <c r="G85" s="124">
        <f t="shared" si="12"/>
        <v>18</v>
      </c>
      <c r="H85" s="173"/>
      <c r="I85" s="18"/>
      <c r="J85" s="19"/>
      <c r="K85" s="20"/>
      <c r="V85">
        <v>1471.9870000000003</v>
      </c>
      <c r="W85">
        <f t="shared" si="13"/>
        <v>1589.7459600000004</v>
      </c>
    </row>
    <row r="86" spans="2:23" ht="31.2" customHeight="1" thickBot="1" x14ac:dyDescent="0.35">
      <c r="B86" s="17">
        <v>12</v>
      </c>
      <c r="C86" s="30" t="s">
        <v>77</v>
      </c>
      <c r="D86" s="11" t="s">
        <v>31</v>
      </c>
      <c r="E86" s="39">
        <v>0</v>
      </c>
      <c r="F86" s="51"/>
      <c r="G86" s="124">
        <f t="shared" si="12"/>
        <v>0</v>
      </c>
      <c r="H86" s="173"/>
      <c r="I86" s="18"/>
      <c r="J86" s="19"/>
      <c r="K86" s="20"/>
      <c r="V86">
        <v>0</v>
      </c>
      <c r="W86">
        <f t="shared" si="13"/>
        <v>0</v>
      </c>
    </row>
    <row r="87" spans="2:23" ht="31.2" customHeight="1" thickBot="1" x14ac:dyDescent="0.35">
      <c r="B87" s="253" t="s">
        <v>17</v>
      </c>
      <c r="C87" s="254"/>
      <c r="D87" s="16"/>
      <c r="E87" s="119">
        <f>SUM(E75:E86)</f>
        <v>104</v>
      </c>
      <c r="F87" s="24"/>
      <c r="G87" s="187"/>
      <c r="H87" s="174"/>
      <c r="I87" s="36"/>
      <c r="J87" s="36"/>
      <c r="K87" s="25"/>
      <c r="W87">
        <f t="shared" si="13"/>
        <v>0</v>
      </c>
    </row>
    <row r="88" spans="2:23" ht="31.2" customHeight="1" thickBot="1" x14ac:dyDescent="0.35">
      <c r="B88" s="107" t="s">
        <v>80</v>
      </c>
      <c r="C88" s="112" t="s">
        <v>206</v>
      </c>
      <c r="D88" s="113" t="s">
        <v>2</v>
      </c>
      <c r="E88" s="122" t="s">
        <v>3</v>
      </c>
      <c r="F88" s="114" t="s">
        <v>4</v>
      </c>
      <c r="G88" s="188" t="s">
        <v>5</v>
      </c>
      <c r="H88" s="176" t="s">
        <v>6</v>
      </c>
      <c r="I88" s="28" t="s">
        <v>7</v>
      </c>
      <c r="J88" s="29" t="s">
        <v>8</v>
      </c>
      <c r="K88" s="107" t="s">
        <v>9</v>
      </c>
      <c r="V88" t="s">
        <v>4</v>
      </c>
      <c r="W88" t="e">
        <f t="shared" si="13"/>
        <v>#VALUE!</v>
      </c>
    </row>
    <row r="89" spans="2:23" ht="31.2" customHeight="1" thickBot="1" x14ac:dyDescent="0.35">
      <c r="B89" s="17">
        <v>1</v>
      </c>
      <c r="C89" s="30" t="s">
        <v>81</v>
      </c>
      <c r="D89" s="11" t="s">
        <v>31</v>
      </c>
      <c r="E89" s="39">
        <f>64+10</f>
        <v>74</v>
      </c>
      <c r="F89" s="52"/>
      <c r="G89" s="124">
        <f>E89</f>
        <v>74</v>
      </c>
      <c r="H89" s="115"/>
      <c r="I89" s="44"/>
      <c r="J89" s="44"/>
      <c r="K89" s="45"/>
      <c r="V89">
        <v>1441.385</v>
      </c>
      <c r="W89">
        <f t="shared" si="13"/>
        <v>1556.6958000000002</v>
      </c>
    </row>
    <row r="90" spans="2:23" ht="31.2" customHeight="1" thickBot="1" x14ac:dyDescent="0.35">
      <c r="B90" s="17">
        <v>2</v>
      </c>
      <c r="C90" s="30" t="s">
        <v>82</v>
      </c>
      <c r="D90" s="11" t="s">
        <v>31</v>
      </c>
      <c r="E90" s="39">
        <f>5+3+1</f>
        <v>9</v>
      </c>
      <c r="F90" s="52"/>
      <c r="G90" s="124">
        <f t="shared" ref="G90:G91" si="14">E90</f>
        <v>9</v>
      </c>
      <c r="H90" s="115"/>
      <c r="I90" s="44"/>
      <c r="J90" s="44"/>
      <c r="K90" s="45"/>
      <c r="V90">
        <v>2016.9160000000002</v>
      </c>
      <c r="W90">
        <f t="shared" si="13"/>
        <v>2178.2692800000004</v>
      </c>
    </row>
    <row r="91" spans="2:23" ht="31.2" customHeight="1" thickBot="1" x14ac:dyDescent="0.35">
      <c r="B91" s="17">
        <v>3</v>
      </c>
      <c r="C91" s="30" t="s">
        <v>183</v>
      </c>
      <c r="D91" s="11" t="s">
        <v>31</v>
      </c>
      <c r="E91" s="54">
        <f>16+5</f>
        <v>21</v>
      </c>
      <c r="F91" s="133"/>
      <c r="G91" s="124">
        <f t="shared" si="14"/>
        <v>21</v>
      </c>
      <c r="H91" s="115"/>
      <c r="I91" s="44"/>
      <c r="J91" s="44"/>
      <c r="K91" s="45"/>
      <c r="V91">
        <v>1360.81</v>
      </c>
      <c r="W91">
        <f t="shared" si="13"/>
        <v>1469.6748</v>
      </c>
    </row>
    <row r="92" spans="2:23" ht="31.2" customHeight="1" thickBot="1" x14ac:dyDescent="0.35">
      <c r="B92" s="253" t="s">
        <v>17</v>
      </c>
      <c r="C92" s="254"/>
      <c r="D92" s="16"/>
      <c r="E92" s="123"/>
      <c r="F92" s="47"/>
      <c r="G92" s="187"/>
      <c r="H92" s="178"/>
      <c r="I92" s="36"/>
      <c r="J92" s="36"/>
      <c r="K92" s="25"/>
      <c r="W92">
        <f t="shared" si="13"/>
        <v>0</v>
      </c>
    </row>
    <row r="93" spans="2:23" ht="31.2" customHeight="1" thickBot="1" x14ac:dyDescent="0.35">
      <c r="B93" s="9" t="s">
        <v>84</v>
      </c>
      <c r="C93" s="10" t="s">
        <v>85</v>
      </c>
      <c r="D93" s="26" t="s">
        <v>2</v>
      </c>
      <c r="E93" s="120" t="s">
        <v>3</v>
      </c>
      <c r="F93" s="114" t="s">
        <v>4</v>
      </c>
      <c r="G93" s="189" t="s">
        <v>5</v>
      </c>
      <c r="H93" s="175" t="s">
        <v>6</v>
      </c>
      <c r="I93" s="28" t="s">
        <v>7</v>
      </c>
      <c r="J93" s="29" t="s">
        <v>8</v>
      </c>
      <c r="K93" s="9" t="s">
        <v>9</v>
      </c>
      <c r="V93" t="s">
        <v>4</v>
      </c>
      <c r="W93" t="e">
        <f t="shared" si="13"/>
        <v>#VALUE!</v>
      </c>
    </row>
    <row r="94" spans="2:23" ht="31.2" customHeight="1" thickBot="1" x14ac:dyDescent="0.35">
      <c r="B94" s="37">
        <v>1</v>
      </c>
      <c r="C94" s="38" t="s">
        <v>86</v>
      </c>
      <c r="D94" s="14" t="s">
        <v>31</v>
      </c>
      <c r="E94" s="39">
        <f>313+20</f>
        <v>333</v>
      </c>
      <c r="F94" s="51"/>
      <c r="G94" s="124">
        <f>E94</f>
        <v>333</v>
      </c>
      <c r="H94" s="115"/>
      <c r="I94" s="44"/>
      <c r="J94" s="44"/>
      <c r="K94" s="45"/>
      <c r="V94">
        <v>100</v>
      </c>
      <c r="W94">
        <f t="shared" si="13"/>
        <v>108</v>
      </c>
    </row>
    <row r="95" spans="2:23" ht="31.2" customHeight="1" thickBot="1" x14ac:dyDescent="0.35">
      <c r="B95" s="17">
        <v>2</v>
      </c>
      <c r="C95" s="30" t="s">
        <v>87</v>
      </c>
      <c r="D95" s="11" t="s">
        <v>31</v>
      </c>
      <c r="E95" s="39">
        <v>0</v>
      </c>
      <c r="F95" s="132"/>
      <c r="G95" s="124">
        <f t="shared" ref="G95:G102" si="15">E95</f>
        <v>0</v>
      </c>
      <c r="H95" s="115"/>
      <c r="I95" s="44"/>
      <c r="J95" s="44"/>
      <c r="K95" s="45"/>
      <c r="V95">
        <v>0</v>
      </c>
      <c r="W95">
        <f t="shared" si="13"/>
        <v>0</v>
      </c>
    </row>
    <row r="96" spans="2:23" ht="31.2" customHeight="1" thickBot="1" x14ac:dyDescent="0.35">
      <c r="B96" s="17">
        <v>3</v>
      </c>
      <c r="C96" s="30" t="s">
        <v>88</v>
      </c>
      <c r="D96" s="11" t="s">
        <v>31</v>
      </c>
      <c r="E96" s="39">
        <f>39+10</f>
        <v>49</v>
      </c>
      <c r="F96" s="51"/>
      <c r="G96" s="124">
        <f t="shared" si="15"/>
        <v>49</v>
      </c>
      <c r="H96" s="115"/>
      <c r="I96" s="44"/>
      <c r="J96" s="44"/>
      <c r="K96" s="45"/>
      <c r="V96">
        <v>210.81500000000003</v>
      </c>
      <c r="W96">
        <f t="shared" si="13"/>
        <v>227.68020000000004</v>
      </c>
    </row>
    <row r="97" spans="2:23" ht="31.2" customHeight="1" thickBot="1" x14ac:dyDescent="0.35">
      <c r="B97" s="17">
        <v>4</v>
      </c>
      <c r="C97" s="30" t="s">
        <v>89</v>
      </c>
      <c r="D97" s="11" t="s">
        <v>31</v>
      </c>
      <c r="E97" s="39">
        <f>111+15</f>
        <v>126</v>
      </c>
      <c r="F97" s="51"/>
      <c r="G97" s="124">
        <f t="shared" si="15"/>
        <v>126</v>
      </c>
      <c r="H97" s="115"/>
      <c r="I97" s="44"/>
      <c r="J97" s="44"/>
      <c r="K97" s="45"/>
      <c r="V97">
        <v>229.702</v>
      </c>
      <c r="W97">
        <f t="shared" si="13"/>
        <v>248.07816000000003</v>
      </c>
    </row>
    <row r="98" spans="2:23" ht="31.2" customHeight="1" thickBot="1" x14ac:dyDescent="0.35">
      <c r="B98" s="37">
        <v>5</v>
      </c>
      <c r="C98" s="38" t="s">
        <v>90</v>
      </c>
      <c r="D98" s="14" t="s">
        <v>31</v>
      </c>
      <c r="E98" s="39">
        <f>112+10</f>
        <v>122</v>
      </c>
      <c r="F98" s="51"/>
      <c r="G98" s="124">
        <f t="shared" si="15"/>
        <v>122</v>
      </c>
      <c r="H98" s="115"/>
      <c r="I98" s="44"/>
      <c r="J98" s="44"/>
      <c r="K98" s="45"/>
      <c r="V98">
        <v>136.15800000000002</v>
      </c>
      <c r="W98">
        <f t="shared" si="13"/>
        <v>147.05064000000002</v>
      </c>
    </row>
    <row r="99" spans="2:23" ht="31.2" customHeight="1" thickBot="1" x14ac:dyDescent="0.35">
      <c r="B99" s="17">
        <v>6</v>
      </c>
      <c r="C99" s="30" t="s">
        <v>91</v>
      </c>
      <c r="D99" s="11" t="s">
        <v>31</v>
      </c>
      <c r="E99" s="39">
        <f>68+5</f>
        <v>73</v>
      </c>
      <c r="F99" s="190"/>
      <c r="G99" s="124">
        <f t="shared" si="15"/>
        <v>73</v>
      </c>
      <c r="H99" s="115"/>
      <c r="I99" s="44"/>
      <c r="J99" s="44"/>
      <c r="K99" s="45"/>
      <c r="V99">
        <v>227.36</v>
      </c>
      <c r="W99">
        <f t="shared" si="13"/>
        <v>245.54880000000003</v>
      </c>
    </row>
    <row r="100" spans="2:23" ht="31.2" customHeight="1" thickBot="1" x14ac:dyDescent="0.35">
      <c r="B100" s="17">
        <v>7</v>
      </c>
      <c r="C100" s="30" t="s">
        <v>92</v>
      </c>
      <c r="D100" s="11" t="s">
        <v>31</v>
      </c>
      <c r="E100" s="39">
        <v>0</v>
      </c>
      <c r="F100" s="51"/>
      <c r="G100" s="124">
        <f t="shared" si="15"/>
        <v>0</v>
      </c>
      <c r="H100" s="115"/>
      <c r="I100" s="44"/>
      <c r="J100" s="44"/>
      <c r="K100" s="45"/>
      <c r="V100">
        <v>0</v>
      </c>
      <c r="W100">
        <f t="shared" si="13"/>
        <v>0</v>
      </c>
    </row>
    <row r="101" spans="2:23" ht="31.2" customHeight="1" thickBot="1" x14ac:dyDescent="0.35">
      <c r="B101" s="17">
        <v>8</v>
      </c>
      <c r="C101" s="30" t="s">
        <v>93</v>
      </c>
      <c r="D101" s="11" t="s">
        <v>31</v>
      </c>
      <c r="E101" s="39">
        <f>4+6</f>
        <v>10</v>
      </c>
      <c r="F101" s="51"/>
      <c r="G101" s="124">
        <f t="shared" si="15"/>
        <v>10</v>
      </c>
      <c r="H101" s="115"/>
      <c r="I101" s="44"/>
      <c r="J101" s="44"/>
      <c r="K101" s="45"/>
      <c r="V101">
        <v>969.35300000000007</v>
      </c>
      <c r="W101">
        <f t="shared" si="13"/>
        <v>1046.9012400000001</v>
      </c>
    </row>
    <row r="102" spans="2:23" ht="31.2" customHeight="1" thickBot="1" x14ac:dyDescent="0.35">
      <c r="B102" s="33">
        <v>9</v>
      </c>
      <c r="C102" s="31" t="s">
        <v>187</v>
      </c>
      <c r="D102" s="53" t="s">
        <v>31</v>
      </c>
      <c r="E102" s="158">
        <f>2*18</f>
        <v>36</v>
      </c>
      <c r="F102" s="132"/>
      <c r="G102" s="124">
        <f t="shared" si="15"/>
        <v>36</v>
      </c>
      <c r="H102" s="115"/>
      <c r="I102" s="44"/>
      <c r="J102" s="44"/>
      <c r="K102" s="45"/>
      <c r="V102">
        <v>450</v>
      </c>
      <c r="W102">
        <f t="shared" si="13"/>
        <v>486.00000000000006</v>
      </c>
    </row>
    <row r="103" spans="2:23" ht="31.2" customHeight="1" thickBot="1" x14ac:dyDescent="0.35">
      <c r="B103" s="253" t="s">
        <v>17</v>
      </c>
      <c r="C103" s="254"/>
      <c r="D103" s="29"/>
      <c r="E103" s="123">
        <f>SUM(E94:E102)</f>
        <v>749</v>
      </c>
      <c r="F103" s="47"/>
      <c r="G103" s="119"/>
      <c r="H103" s="178"/>
      <c r="I103" s="36"/>
      <c r="J103" s="36"/>
      <c r="K103" s="25"/>
      <c r="W103">
        <f t="shared" si="13"/>
        <v>0</v>
      </c>
    </row>
    <row r="104" spans="2:23" ht="31.2" customHeight="1" thickBot="1" x14ac:dyDescent="0.35">
      <c r="B104" s="9" t="s">
        <v>94</v>
      </c>
      <c r="C104" s="10" t="s">
        <v>207</v>
      </c>
      <c r="D104" s="26" t="s">
        <v>2</v>
      </c>
      <c r="E104" s="120" t="s">
        <v>3</v>
      </c>
      <c r="F104" s="27" t="s">
        <v>4</v>
      </c>
      <c r="G104" s="120" t="s">
        <v>5</v>
      </c>
      <c r="H104" s="175" t="s">
        <v>6</v>
      </c>
      <c r="I104" s="28" t="s">
        <v>7</v>
      </c>
      <c r="J104" s="29" t="s">
        <v>8</v>
      </c>
      <c r="K104" s="9" t="s">
        <v>9</v>
      </c>
      <c r="V104" t="s">
        <v>4</v>
      </c>
      <c r="W104" t="e">
        <f t="shared" si="13"/>
        <v>#VALUE!</v>
      </c>
    </row>
    <row r="105" spans="2:23" ht="31.2" customHeight="1" thickBot="1" x14ac:dyDescent="0.35">
      <c r="B105" s="17">
        <v>1</v>
      </c>
      <c r="C105" s="31" t="s">
        <v>81</v>
      </c>
      <c r="D105" s="11" t="s">
        <v>31</v>
      </c>
      <c r="E105" s="39">
        <f>388+20</f>
        <v>408</v>
      </c>
      <c r="F105" s="161"/>
      <c r="G105" s="39">
        <f>E105</f>
        <v>408</v>
      </c>
      <c r="H105" s="179"/>
      <c r="I105" s="162"/>
      <c r="J105" s="162"/>
      <c r="K105" s="163"/>
      <c r="V105">
        <v>642.53200000000004</v>
      </c>
      <c r="W105">
        <f t="shared" si="13"/>
        <v>693.93456000000003</v>
      </c>
    </row>
    <row r="106" spans="2:23" ht="31.2" customHeight="1" thickBot="1" x14ac:dyDescent="0.35">
      <c r="B106" s="17">
        <v>2</v>
      </c>
      <c r="C106" s="164" t="s">
        <v>236</v>
      </c>
      <c r="D106" s="11" t="s">
        <v>31</v>
      </c>
      <c r="E106" s="39">
        <f>5+5</f>
        <v>10</v>
      </c>
      <c r="F106" s="161"/>
      <c r="G106" s="39">
        <f t="shared" ref="G106:G108" si="16">E106</f>
        <v>10</v>
      </c>
      <c r="H106" s="179"/>
      <c r="I106" s="162"/>
      <c r="J106" s="162"/>
      <c r="K106" s="163"/>
      <c r="V106">
        <v>574.33200000000011</v>
      </c>
      <c r="W106">
        <f t="shared" si="13"/>
        <v>620.2785600000002</v>
      </c>
    </row>
    <row r="107" spans="2:23" ht="31.2" customHeight="1" thickBot="1" x14ac:dyDescent="0.35">
      <c r="B107" s="17">
        <v>3</v>
      </c>
      <c r="C107" s="164" t="s">
        <v>83</v>
      </c>
      <c r="D107" s="32"/>
      <c r="E107" s="54">
        <f>G29</f>
        <v>60</v>
      </c>
      <c r="F107" s="161"/>
      <c r="G107" s="39">
        <f t="shared" si="16"/>
        <v>60</v>
      </c>
      <c r="H107" s="179"/>
      <c r="I107" s="162"/>
      <c r="J107" s="162"/>
      <c r="K107" s="163"/>
    </row>
    <row r="108" spans="2:23" ht="31.2" customHeight="1" thickBot="1" x14ac:dyDescent="0.35">
      <c r="B108" s="17">
        <v>4</v>
      </c>
      <c r="C108" s="164" t="s">
        <v>182</v>
      </c>
      <c r="D108" s="32" t="s">
        <v>31</v>
      </c>
      <c r="E108" s="54">
        <v>20</v>
      </c>
      <c r="F108" s="165"/>
      <c r="G108" s="39">
        <f t="shared" si="16"/>
        <v>20</v>
      </c>
      <c r="H108" s="179"/>
      <c r="I108" s="166"/>
      <c r="J108" s="166"/>
      <c r="K108" s="167"/>
      <c r="V108">
        <v>1639.671</v>
      </c>
      <c r="W108">
        <f t="shared" si="13"/>
        <v>1770.8446800000002</v>
      </c>
    </row>
    <row r="109" spans="2:23" ht="31.2" customHeight="1" thickBot="1" x14ac:dyDescent="0.35">
      <c r="B109" s="253" t="s">
        <v>17</v>
      </c>
      <c r="C109" s="252"/>
      <c r="D109" s="29"/>
      <c r="E109" s="123"/>
      <c r="F109" s="47"/>
      <c r="G109" s="119"/>
      <c r="H109" s="178"/>
      <c r="I109" s="36"/>
      <c r="J109" s="36"/>
      <c r="K109" s="25"/>
      <c r="W109">
        <f t="shared" si="13"/>
        <v>0</v>
      </c>
    </row>
    <row r="110" spans="2:23" ht="31.2" customHeight="1" thickBot="1" x14ac:dyDescent="0.35">
      <c r="B110" s="9" t="s">
        <v>95</v>
      </c>
      <c r="C110" s="10" t="s">
        <v>96</v>
      </c>
      <c r="D110" s="26" t="s">
        <v>2</v>
      </c>
      <c r="E110" s="120" t="s">
        <v>3</v>
      </c>
      <c r="F110" s="27" t="s">
        <v>4</v>
      </c>
      <c r="G110" s="120" t="s">
        <v>5</v>
      </c>
      <c r="H110" s="175" t="s">
        <v>6</v>
      </c>
      <c r="I110" s="28" t="s">
        <v>7</v>
      </c>
      <c r="J110" s="29" t="s">
        <v>8</v>
      </c>
      <c r="K110" s="9" t="s">
        <v>9</v>
      </c>
      <c r="V110" t="s">
        <v>4</v>
      </c>
      <c r="W110" t="e">
        <f t="shared" si="13"/>
        <v>#VALUE!</v>
      </c>
    </row>
    <row r="111" spans="2:23" ht="31.2" customHeight="1" thickBot="1" x14ac:dyDescent="0.35">
      <c r="B111" s="23" t="s">
        <v>29</v>
      </c>
      <c r="C111" s="55" t="s">
        <v>245</v>
      </c>
      <c r="D111" s="56" t="s">
        <v>31</v>
      </c>
      <c r="E111" s="118">
        <f>404+6</f>
        <v>410</v>
      </c>
      <c r="F111" s="13"/>
      <c r="G111" s="118">
        <f>E111</f>
        <v>410</v>
      </c>
      <c r="H111" s="115"/>
      <c r="I111" s="44"/>
      <c r="J111" s="44"/>
      <c r="K111" s="45"/>
      <c r="V111">
        <v>794</v>
      </c>
      <c r="W111">
        <f t="shared" si="13"/>
        <v>857.5200000000001</v>
      </c>
    </row>
    <row r="112" spans="2:23" ht="31.2" customHeight="1" thickBot="1" x14ac:dyDescent="0.35">
      <c r="B112" s="33" t="s">
        <v>38</v>
      </c>
      <c r="C112" s="31" t="s">
        <v>97</v>
      </c>
      <c r="D112" s="32" t="s">
        <v>31</v>
      </c>
      <c r="E112" s="54">
        <v>0</v>
      </c>
      <c r="F112" s="57"/>
      <c r="G112" s="118">
        <f>E112</f>
        <v>0</v>
      </c>
      <c r="H112" s="115"/>
      <c r="I112" s="44"/>
      <c r="J112" s="44"/>
      <c r="K112" s="45"/>
      <c r="W112">
        <f t="shared" ref="W112:W143" si="17">V112*$W$47</f>
        <v>0</v>
      </c>
    </row>
    <row r="113" spans="2:23" ht="31.2" customHeight="1" thickBot="1" x14ac:dyDescent="0.35">
      <c r="B113" s="253" t="s">
        <v>17</v>
      </c>
      <c r="C113" s="254"/>
      <c r="D113" s="29"/>
      <c r="E113" s="123"/>
      <c r="F113" s="47"/>
      <c r="G113" s="123"/>
      <c r="H113" s="178"/>
      <c r="I113" s="36"/>
      <c r="J113" s="36"/>
      <c r="K113" s="136"/>
      <c r="W113">
        <f t="shared" si="17"/>
        <v>0</v>
      </c>
    </row>
    <row r="114" spans="2:23" ht="31.2" customHeight="1" thickBot="1" x14ac:dyDescent="0.35">
      <c r="B114" s="9" t="s">
        <v>98</v>
      </c>
      <c r="C114" s="10" t="s">
        <v>99</v>
      </c>
      <c r="D114" s="26" t="s">
        <v>2</v>
      </c>
      <c r="E114" s="120" t="s">
        <v>3</v>
      </c>
      <c r="F114" s="27" t="s">
        <v>4</v>
      </c>
      <c r="G114" s="120" t="s">
        <v>5</v>
      </c>
      <c r="H114" s="175" t="s">
        <v>6</v>
      </c>
      <c r="I114" s="28" t="s">
        <v>7</v>
      </c>
      <c r="J114" s="29" t="s">
        <v>8</v>
      </c>
      <c r="K114" s="9" t="s">
        <v>9</v>
      </c>
      <c r="V114" t="s">
        <v>4</v>
      </c>
      <c r="W114" t="e">
        <f t="shared" si="17"/>
        <v>#VALUE!</v>
      </c>
    </row>
    <row r="115" spans="2:23" ht="31.2" customHeight="1" thickBot="1" x14ac:dyDescent="0.35">
      <c r="B115" s="17">
        <v>1</v>
      </c>
      <c r="C115" s="30" t="s">
        <v>100</v>
      </c>
      <c r="D115" s="11" t="s">
        <v>26</v>
      </c>
      <c r="E115" s="39">
        <v>0</v>
      </c>
      <c r="F115" s="15"/>
      <c r="G115" s="39">
        <f>E115</f>
        <v>0</v>
      </c>
      <c r="H115" s="173"/>
      <c r="I115" s="48"/>
      <c r="J115" s="58"/>
      <c r="K115" s="59"/>
      <c r="V115">
        <v>0</v>
      </c>
      <c r="W115">
        <f t="shared" si="17"/>
        <v>0</v>
      </c>
    </row>
    <row r="116" spans="2:23" ht="31.2" customHeight="1" thickBot="1" x14ac:dyDescent="0.35">
      <c r="B116" s="17">
        <v>2</v>
      </c>
      <c r="C116" s="30" t="s">
        <v>101</v>
      </c>
      <c r="D116" s="11" t="s">
        <v>26</v>
      </c>
      <c r="E116" s="39">
        <v>0</v>
      </c>
      <c r="F116" s="15"/>
      <c r="G116" s="39">
        <f t="shared" ref="G116:G126" si="18">E116</f>
        <v>0</v>
      </c>
      <c r="H116" s="173"/>
      <c r="I116" s="137"/>
      <c r="J116" s="138"/>
      <c r="K116" s="139"/>
      <c r="V116">
        <v>0</v>
      </c>
      <c r="W116">
        <f t="shared" si="17"/>
        <v>0</v>
      </c>
    </row>
    <row r="117" spans="2:23" ht="31.2" customHeight="1" thickBot="1" x14ac:dyDescent="0.35">
      <c r="B117" s="17">
        <v>3</v>
      </c>
      <c r="C117" s="30" t="s">
        <v>102</v>
      </c>
      <c r="D117" s="11" t="s">
        <v>26</v>
      </c>
      <c r="E117" s="39">
        <f>3162*3*1.05*1.15</f>
        <v>11454.345000000001</v>
      </c>
      <c r="F117" s="15"/>
      <c r="G117" s="39">
        <f t="shared" ref="G117" si="19">E117</f>
        <v>11454.345000000001</v>
      </c>
      <c r="H117" s="173"/>
      <c r="I117" s="137"/>
      <c r="J117" s="138"/>
      <c r="K117" s="139"/>
      <c r="V117">
        <v>22.37</v>
      </c>
      <c r="W117">
        <f t="shared" si="17"/>
        <v>24.159600000000001</v>
      </c>
    </row>
    <row r="118" spans="2:23" ht="31.2" customHeight="1" thickBot="1" x14ac:dyDescent="0.35">
      <c r="B118" s="17">
        <v>4</v>
      </c>
      <c r="C118" s="30" t="s">
        <v>103</v>
      </c>
      <c r="D118" s="11" t="s">
        <v>26</v>
      </c>
      <c r="E118" s="39">
        <v>0</v>
      </c>
      <c r="F118" s="15"/>
      <c r="G118" s="39">
        <f t="shared" si="18"/>
        <v>0</v>
      </c>
      <c r="H118" s="173"/>
      <c r="I118" s="137"/>
      <c r="J118" s="138"/>
      <c r="K118" s="139"/>
      <c r="W118">
        <f t="shared" si="17"/>
        <v>0</v>
      </c>
    </row>
    <row r="119" spans="2:23" ht="31.2" customHeight="1" thickBot="1" x14ac:dyDescent="0.35">
      <c r="B119" s="17">
        <v>5</v>
      </c>
      <c r="C119" s="30" t="s">
        <v>104</v>
      </c>
      <c r="D119" s="11" t="s">
        <v>26</v>
      </c>
      <c r="E119" s="39">
        <v>0</v>
      </c>
      <c r="F119" s="15"/>
      <c r="G119" s="39">
        <f t="shared" si="18"/>
        <v>0</v>
      </c>
      <c r="H119" s="173"/>
      <c r="I119" s="137"/>
      <c r="J119" s="138"/>
      <c r="K119" s="139"/>
      <c r="W119">
        <f t="shared" si="17"/>
        <v>0</v>
      </c>
    </row>
    <row r="120" spans="2:23" ht="31.2" customHeight="1" thickBot="1" x14ac:dyDescent="0.35">
      <c r="B120" s="23">
        <v>6</v>
      </c>
      <c r="C120" s="55" t="s">
        <v>105</v>
      </c>
      <c r="D120" s="56" t="s">
        <v>26</v>
      </c>
      <c r="E120" s="118">
        <v>0</v>
      </c>
      <c r="F120" s="13"/>
      <c r="G120" s="39">
        <f t="shared" si="18"/>
        <v>0</v>
      </c>
      <c r="H120" s="173"/>
      <c r="I120" s="137"/>
      <c r="J120" s="138"/>
      <c r="K120" s="139"/>
      <c r="V120">
        <v>41.887999999999998</v>
      </c>
      <c r="W120">
        <f t="shared" si="17"/>
        <v>45.239040000000003</v>
      </c>
    </row>
    <row r="121" spans="2:23" ht="31.2" customHeight="1" thickBot="1" x14ac:dyDescent="0.35">
      <c r="B121" s="17">
        <v>7</v>
      </c>
      <c r="C121" s="30" t="s">
        <v>106</v>
      </c>
      <c r="D121" s="11" t="s">
        <v>26</v>
      </c>
      <c r="E121" s="39">
        <v>0</v>
      </c>
      <c r="F121" s="15"/>
      <c r="G121" s="39">
        <f t="shared" si="18"/>
        <v>0</v>
      </c>
      <c r="H121" s="173"/>
      <c r="I121" s="137"/>
      <c r="J121" s="138"/>
      <c r="K121" s="139"/>
      <c r="W121">
        <f t="shared" si="17"/>
        <v>0</v>
      </c>
    </row>
    <row r="122" spans="2:23" ht="31.2" customHeight="1" thickBot="1" x14ac:dyDescent="0.35">
      <c r="B122" s="17">
        <v>8</v>
      </c>
      <c r="C122" s="30" t="s">
        <v>107</v>
      </c>
      <c r="D122" s="11" t="s">
        <v>26</v>
      </c>
      <c r="E122" s="39">
        <v>0</v>
      </c>
      <c r="F122" s="15"/>
      <c r="G122" s="39">
        <f t="shared" si="18"/>
        <v>0</v>
      </c>
      <c r="H122" s="173"/>
      <c r="I122" s="137"/>
      <c r="J122" s="138"/>
      <c r="K122" s="139"/>
      <c r="W122">
        <f t="shared" si="17"/>
        <v>0</v>
      </c>
    </row>
    <row r="123" spans="2:23" ht="31.2" customHeight="1" thickBot="1" x14ac:dyDescent="0.35">
      <c r="B123" s="23">
        <v>9</v>
      </c>
      <c r="C123" s="60" t="s">
        <v>108</v>
      </c>
      <c r="D123" s="12" t="s">
        <v>26</v>
      </c>
      <c r="E123" s="118">
        <f>17092*1.05*1.15</f>
        <v>20638.59</v>
      </c>
      <c r="F123" s="191"/>
      <c r="G123" s="39">
        <f t="shared" si="18"/>
        <v>20638.59</v>
      </c>
      <c r="H123" s="173"/>
      <c r="I123" s="137"/>
      <c r="J123" s="138"/>
      <c r="K123" s="139"/>
      <c r="V123">
        <v>99.34</v>
      </c>
      <c r="W123">
        <f t="shared" si="17"/>
        <v>107.28720000000001</v>
      </c>
    </row>
    <row r="124" spans="2:23" ht="31.2" customHeight="1" thickBot="1" x14ac:dyDescent="0.35">
      <c r="B124" s="17">
        <v>10</v>
      </c>
      <c r="C124" s="30" t="s">
        <v>184</v>
      </c>
      <c r="D124" s="11" t="s">
        <v>31</v>
      </c>
      <c r="E124" s="39">
        <v>20</v>
      </c>
      <c r="F124" s="51"/>
      <c r="G124" s="39">
        <f t="shared" si="18"/>
        <v>20</v>
      </c>
      <c r="H124" s="173"/>
      <c r="I124" s="137"/>
      <c r="J124" s="138"/>
      <c r="K124" s="139"/>
      <c r="V124">
        <v>37.400000000000006</v>
      </c>
      <c r="W124">
        <f t="shared" si="17"/>
        <v>40.39200000000001</v>
      </c>
    </row>
    <row r="125" spans="2:23" ht="31.2" customHeight="1" thickBot="1" x14ac:dyDescent="0.35">
      <c r="B125" s="17">
        <v>11</v>
      </c>
      <c r="C125" s="30" t="s">
        <v>109</v>
      </c>
      <c r="D125" s="11" t="s">
        <v>31</v>
      </c>
      <c r="E125" s="39">
        <v>0</v>
      </c>
      <c r="F125" s="40"/>
      <c r="G125" s="39">
        <f t="shared" si="18"/>
        <v>0</v>
      </c>
      <c r="H125" s="173"/>
      <c r="I125" s="137"/>
      <c r="J125" s="138"/>
      <c r="K125" s="139"/>
      <c r="V125">
        <v>0</v>
      </c>
      <c r="W125">
        <f t="shared" si="17"/>
        <v>0</v>
      </c>
    </row>
    <row r="126" spans="2:23" ht="31.2" customHeight="1" thickBot="1" x14ac:dyDescent="0.35">
      <c r="B126" s="17">
        <v>12</v>
      </c>
      <c r="C126" s="30" t="s">
        <v>110</v>
      </c>
      <c r="D126" s="11" t="s">
        <v>31</v>
      </c>
      <c r="E126" s="159">
        <v>50</v>
      </c>
      <c r="F126" s="140"/>
      <c r="G126" s="39">
        <f t="shared" si="18"/>
        <v>50</v>
      </c>
      <c r="H126" s="173"/>
      <c r="I126" s="137"/>
      <c r="J126" s="138"/>
      <c r="K126" s="139"/>
      <c r="V126">
        <v>74.800000000000011</v>
      </c>
      <c r="W126">
        <f t="shared" si="17"/>
        <v>80.78400000000002</v>
      </c>
    </row>
    <row r="127" spans="2:23" ht="31.2" customHeight="1" thickBot="1" x14ac:dyDescent="0.35">
      <c r="B127" s="253" t="s">
        <v>17</v>
      </c>
      <c r="C127" s="254"/>
      <c r="D127" s="16"/>
      <c r="E127" s="123"/>
      <c r="F127" s="47"/>
      <c r="G127" s="119"/>
      <c r="H127" s="177"/>
      <c r="I127" s="36"/>
      <c r="J127" s="36"/>
      <c r="K127" s="141"/>
      <c r="W127">
        <f t="shared" si="17"/>
        <v>0</v>
      </c>
    </row>
    <row r="128" spans="2:23" ht="31.2" customHeight="1" thickBot="1" x14ac:dyDescent="0.35">
      <c r="B128" s="107" t="s">
        <v>111</v>
      </c>
      <c r="C128" s="112" t="s">
        <v>112</v>
      </c>
      <c r="D128" s="113" t="s">
        <v>2</v>
      </c>
      <c r="E128" s="122" t="s">
        <v>3</v>
      </c>
      <c r="F128" s="114" t="s">
        <v>4</v>
      </c>
      <c r="G128" s="122" t="s">
        <v>5</v>
      </c>
      <c r="H128" s="176" t="s">
        <v>6</v>
      </c>
      <c r="I128" s="28" t="s">
        <v>7</v>
      </c>
      <c r="J128" s="29" t="s">
        <v>8</v>
      </c>
      <c r="K128" s="107" t="s">
        <v>9</v>
      </c>
      <c r="V128" t="s">
        <v>4</v>
      </c>
      <c r="W128" t="e">
        <f t="shared" si="17"/>
        <v>#VALUE!</v>
      </c>
    </row>
    <row r="129" spans="2:23" ht="31.2" customHeight="1" thickBot="1" x14ac:dyDescent="0.35">
      <c r="B129" s="17"/>
      <c r="C129" s="10" t="s">
        <v>179</v>
      </c>
      <c r="D129" s="11"/>
      <c r="E129" s="39"/>
      <c r="F129" s="15"/>
      <c r="G129" s="39"/>
      <c r="H129" s="173"/>
      <c r="I129" s="48"/>
      <c r="J129" s="49"/>
      <c r="K129" s="17"/>
      <c r="W129">
        <f t="shared" si="17"/>
        <v>0</v>
      </c>
    </row>
    <row r="130" spans="2:23" ht="31.2" customHeight="1" thickBot="1" x14ac:dyDescent="0.35">
      <c r="B130" s="17">
        <v>1</v>
      </c>
      <c r="C130" s="61" t="s">
        <v>113</v>
      </c>
      <c r="D130" s="11" t="s">
        <v>114</v>
      </c>
      <c r="E130" s="39">
        <v>0</v>
      </c>
      <c r="F130" s="15"/>
      <c r="G130" s="39">
        <f>E130</f>
        <v>0</v>
      </c>
      <c r="H130" s="115"/>
      <c r="I130" s="44"/>
      <c r="J130" s="44"/>
      <c r="K130" s="45"/>
      <c r="V130">
        <v>0</v>
      </c>
      <c r="W130">
        <f t="shared" si="17"/>
        <v>0</v>
      </c>
    </row>
    <row r="131" spans="2:23" ht="31.2" customHeight="1" thickBot="1" x14ac:dyDescent="0.35">
      <c r="B131" s="17">
        <v>2</v>
      </c>
      <c r="C131" s="61" t="s">
        <v>115</v>
      </c>
      <c r="D131" s="11" t="s">
        <v>114</v>
      </c>
      <c r="E131" s="39">
        <v>0</v>
      </c>
      <c r="F131" s="15"/>
      <c r="G131" s="39">
        <f t="shared" ref="G131:G141" si="20">E131</f>
        <v>0</v>
      </c>
      <c r="H131" s="115"/>
      <c r="I131" s="44"/>
      <c r="J131" s="44"/>
      <c r="K131" s="45"/>
      <c r="V131">
        <v>0</v>
      </c>
      <c r="W131">
        <f t="shared" si="17"/>
        <v>0</v>
      </c>
    </row>
    <row r="132" spans="2:23" ht="31.2" customHeight="1" thickBot="1" x14ac:dyDescent="0.35">
      <c r="B132" s="17">
        <v>3</v>
      </c>
      <c r="C132" s="61" t="s">
        <v>116</v>
      </c>
      <c r="D132" s="11" t="s">
        <v>114</v>
      </c>
      <c r="E132" s="39">
        <v>0</v>
      </c>
      <c r="F132" s="15"/>
      <c r="G132" s="39">
        <f t="shared" si="20"/>
        <v>0</v>
      </c>
      <c r="H132" s="115"/>
      <c r="I132" s="44"/>
      <c r="J132" s="44"/>
      <c r="K132" s="45"/>
      <c r="V132">
        <v>0</v>
      </c>
      <c r="W132">
        <f t="shared" si="17"/>
        <v>0</v>
      </c>
    </row>
    <row r="133" spans="2:23" ht="31.2" customHeight="1" thickBot="1" x14ac:dyDescent="0.35">
      <c r="B133" s="23">
        <v>4</v>
      </c>
      <c r="C133" s="62" t="s">
        <v>117</v>
      </c>
      <c r="D133" s="56" t="s">
        <v>114</v>
      </c>
      <c r="E133" s="118">
        <v>17</v>
      </c>
      <c r="F133" s="15"/>
      <c r="G133" s="39">
        <f t="shared" si="20"/>
        <v>17</v>
      </c>
      <c r="H133" s="115"/>
      <c r="I133" s="44"/>
      <c r="J133" s="44"/>
      <c r="K133" s="45"/>
      <c r="V133">
        <v>85175</v>
      </c>
      <c r="W133">
        <f t="shared" si="17"/>
        <v>91989</v>
      </c>
    </row>
    <row r="134" spans="2:23" ht="31.2" customHeight="1" thickBot="1" x14ac:dyDescent="0.35">
      <c r="B134" s="17">
        <v>5</v>
      </c>
      <c r="C134" s="61" t="s">
        <v>118</v>
      </c>
      <c r="D134" s="11" t="s">
        <v>114</v>
      </c>
      <c r="E134" s="39">
        <v>0</v>
      </c>
      <c r="F134" s="15"/>
      <c r="G134" s="39">
        <f t="shared" si="20"/>
        <v>0</v>
      </c>
      <c r="H134" s="180"/>
      <c r="I134" s="44"/>
      <c r="J134" s="44"/>
      <c r="K134" s="45"/>
      <c r="V134">
        <v>0</v>
      </c>
      <c r="W134">
        <f t="shared" si="17"/>
        <v>0</v>
      </c>
    </row>
    <row r="135" spans="2:23" ht="31.2" customHeight="1" thickBot="1" x14ac:dyDescent="0.35">
      <c r="B135" s="23">
        <v>6</v>
      </c>
      <c r="C135" s="62" t="s">
        <v>119</v>
      </c>
      <c r="D135" s="56" t="s">
        <v>114</v>
      </c>
      <c r="E135" s="118">
        <v>1</v>
      </c>
      <c r="F135" s="15"/>
      <c r="G135" s="39">
        <f t="shared" si="20"/>
        <v>1</v>
      </c>
      <c r="H135" s="115"/>
      <c r="I135" s="44"/>
      <c r="J135" s="44"/>
      <c r="K135" s="45"/>
      <c r="V135">
        <v>57999</v>
      </c>
      <c r="W135">
        <f t="shared" si="17"/>
        <v>62638.920000000006</v>
      </c>
    </row>
    <row r="136" spans="2:23" ht="31.2" customHeight="1" thickBot="1" x14ac:dyDescent="0.35">
      <c r="B136" s="17">
        <v>7</v>
      </c>
      <c r="C136" s="61" t="s">
        <v>120</v>
      </c>
      <c r="D136" s="11" t="s">
        <v>114</v>
      </c>
      <c r="E136" s="39">
        <v>0</v>
      </c>
      <c r="F136" s="15"/>
      <c r="G136" s="39">
        <f t="shared" si="20"/>
        <v>0</v>
      </c>
      <c r="H136" s="180"/>
      <c r="I136" s="44"/>
      <c r="J136" s="44"/>
      <c r="K136" s="45"/>
      <c r="V136">
        <v>0</v>
      </c>
      <c r="W136">
        <f t="shared" si="17"/>
        <v>0</v>
      </c>
    </row>
    <row r="137" spans="2:23" ht="31.2" customHeight="1" thickBot="1" x14ac:dyDescent="0.35">
      <c r="B137" s="17">
        <v>8</v>
      </c>
      <c r="C137" s="61" t="s">
        <v>121</v>
      </c>
      <c r="D137" s="11" t="s">
        <v>114</v>
      </c>
      <c r="E137" s="39">
        <v>0</v>
      </c>
      <c r="F137" s="15"/>
      <c r="G137" s="39">
        <f t="shared" si="20"/>
        <v>0</v>
      </c>
      <c r="H137" s="180"/>
      <c r="I137" s="44"/>
      <c r="J137" s="44"/>
      <c r="K137" s="45"/>
      <c r="V137">
        <v>26235.000000000004</v>
      </c>
      <c r="W137">
        <f t="shared" si="17"/>
        <v>28333.800000000007</v>
      </c>
    </row>
    <row r="138" spans="2:23" ht="31.2" customHeight="1" thickBot="1" x14ac:dyDescent="0.35">
      <c r="B138" s="17">
        <v>9</v>
      </c>
      <c r="C138" s="61" t="s">
        <v>122</v>
      </c>
      <c r="D138" s="11" t="s">
        <v>114</v>
      </c>
      <c r="E138" s="39">
        <v>0</v>
      </c>
      <c r="F138" s="15"/>
      <c r="G138" s="39">
        <f t="shared" si="20"/>
        <v>0</v>
      </c>
      <c r="H138" s="180"/>
      <c r="I138" s="44"/>
      <c r="J138" s="44"/>
      <c r="K138" s="45"/>
      <c r="V138">
        <v>0</v>
      </c>
      <c r="W138">
        <f t="shared" si="17"/>
        <v>0</v>
      </c>
    </row>
    <row r="139" spans="2:23" ht="31.2" customHeight="1" thickBot="1" x14ac:dyDescent="0.35">
      <c r="B139" s="17">
        <v>10</v>
      </c>
      <c r="C139" s="61" t="s">
        <v>123</v>
      </c>
      <c r="D139" s="11" t="s">
        <v>114</v>
      </c>
      <c r="E139" s="39">
        <v>0</v>
      </c>
      <c r="F139" s="15"/>
      <c r="G139" s="39">
        <f t="shared" si="20"/>
        <v>0</v>
      </c>
      <c r="H139" s="180"/>
      <c r="I139" s="44"/>
      <c r="J139" s="44"/>
      <c r="K139" s="45"/>
      <c r="V139">
        <v>0</v>
      </c>
      <c r="W139">
        <f t="shared" si="17"/>
        <v>0</v>
      </c>
    </row>
    <row r="140" spans="2:23" ht="31.2" customHeight="1" thickBot="1" x14ac:dyDescent="0.35">
      <c r="B140" s="17">
        <v>11</v>
      </c>
      <c r="C140" s="61" t="s">
        <v>124</v>
      </c>
      <c r="D140" s="11" t="s">
        <v>114</v>
      </c>
      <c r="E140" s="39">
        <v>0</v>
      </c>
      <c r="F140" s="15"/>
      <c r="G140" s="39">
        <f t="shared" si="20"/>
        <v>0</v>
      </c>
      <c r="H140" s="180"/>
      <c r="I140" s="44"/>
      <c r="J140" s="44"/>
      <c r="K140" s="45"/>
      <c r="V140">
        <v>0</v>
      </c>
      <c r="W140">
        <f t="shared" si="17"/>
        <v>0</v>
      </c>
    </row>
    <row r="141" spans="2:23" ht="31.2" customHeight="1" thickBot="1" x14ac:dyDescent="0.35">
      <c r="B141" s="17">
        <v>12</v>
      </c>
      <c r="C141" s="61" t="s">
        <v>125</v>
      </c>
      <c r="D141" s="11" t="s">
        <v>114</v>
      </c>
      <c r="E141" s="54">
        <v>1</v>
      </c>
      <c r="F141" s="15"/>
      <c r="G141" s="39">
        <f t="shared" si="20"/>
        <v>1</v>
      </c>
      <c r="H141" s="115"/>
      <c r="I141" s="44"/>
      <c r="J141" s="134"/>
      <c r="K141" s="45"/>
      <c r="V141">
        <v>25260.988500000003</v>
      </c>
      <c r="W141">
        <f t="shared" si="17"/>
        <v>27281.867580000006</v>
      </c>
    </row>
    <row r="142" spans="2:23" ht="31.2" customHeight="1" thickBot="1" x14ac:dyDescent="0.35">
      <c r="B142" s="253" t="s">
        <v>17</v>
      </c>
      <c r="C142" s="254"/>
      <c r="D142" s="16"/>
      <c r="E142" s="123"/>
      <c r="F142" s="24"/>
      <c r="G142" s="123"/>
      <c r="H142" s="178"/>
      <c r="I142" s="36"/>
      <c r="J142" s="36"/>
      <c r="K142" s="141"/>
      <c r="W142">
        <f t="shared" si="17"/>
        <v>0</v>
      </c>
    </row>
    <row r="143" spans="2:23" ht="31.2" customHeight="1" thickBot="1" x14ac:dyDescent="0.35">
      <c r="B143" s="64" t="s">
        <v>126</v>
      </c>
      <c r="C143" s="65" t="s">
        <v>127</v>
      </c>
      <c r="D143" s="26" t="s">
        <v>2</v>
      </c>
      <c r="E143" s="120" t="s">
        <v>3</v>
      </c>
      <c r="F143" s="27" t="s">
        <v>4</v>
      </c>
      <c r="G143" s="120" t="s">
        <v>5</v>
      </c>
      <c r="H143" s="175" t="s">
        <v>6</v>
      </c>
      <c r="I143" s="28" t="s">
        <v>7</v>
      </c>
      <c r="J143" s="29" t="s">
        <v>8</v>
      </c>
      <c r="K143" s="9" t="s">
        <v>9</v>
      </c>
      <c r="V143" t="s">
        <v>4</v>
      </c>
      <c r="W143" t="e">
        <f t="shared" si="17"/>
        <v>#VALUE!</v>
      </c>
    </row>
    <row r="144" spans="2:23" ht="31.2" customHeight="1" thickBot="1" x14ac:dyDescent="0.35">
      <c r="B144" s="66">
        <v>1</v>
      </c>
      <c r="C144" s="30" t="s">
        <v>215</v>
      </c>
      <c r="D144" s="11" t="s">
        <v>31</v>
      </c>
      <c r="E144" s="39">
        <v>1</v>
      </c>
      <c r="F144" s="52"/>
      <c r="G144" s="39">
        <f>E144</f>
        <v>1</v>
      </c>
      <c r="H144" s="115"/>
      <c r="I144" s="44"/>
      <c r="J144" s="44"/>
      <c r="K144" s="45"/>
      <c r="V144">
        <v>369.98500000000007</v>
      </c>
      <c r="W144">
        <f t="shared" ref="W144:W175" si="21">V144*$W$47</f>
        <v>399.58380000000011</v>
      </c>
    </row>
    <row r="145" spans="2:23" ht="31.2" customHeight="1" thickBot="1" x14ac:dyDescent="0.35">
      <c r="B145" s="17">
        <v>2</v>
      </c>
      <c r="C145" s="30" t="s">
        <v>128</v>
      </c>
      <c r="D145" s="11" t="s">
        <v>31</v>
      </c>
      <c r="E145" s="39">
        <f>E137*2</f>
        <v>0</v>
      </c>
      <c r="F145" s="52"/>
      <c r="G145" s="39">
        <f t="shared" ref="G145:G148" si="22">E145</f>
        <v>0</v>
      </c>
      <c r="H145" s="115"/>
      <c r="I145" s="44"/>
      <c r="J145" s="44"/>
      <c r="K145" s="45"/>
      <c r="V145">
        <v>501.6</v>
      </c>
      <c r="W145">
        <f t="shared" si="21"/>
        <v>541.72800000000007</v>
      </c>
    </row>
    <row r="146" spans="2:23" ht="31.2" customHeight="1" thickBot="1" x14ac:dyDescent="0.35">
      <c r="B146" s="17">
        <v>3</v>
      </c>
      <c r="C146" s="30" t="s">
        <v>129</v>
      </c>
      <c r="D146" s="11" t="s">
        <v>31</v>
      </c>
      <c r="E146" s="39">
        <v>3</v>
      </c>
      <c r="F146" s="52"/>
      <c r="G146" s="39">
        <f t="shared" si="22"/>
        <v>3</v>
      </c>
      <c r="H146" s="115"/>
      <c r="I146" s="44"/>
      <c r="J146" s="44"/>
      <c r="K146" s="45"/>
      <c r="V146">
        <v>788.00700000000006</v>
      </c>
      <c r="W146">
        <f t="shared" si="21"/>
        <v>851.04756000000009</v>
      </c>
    </row>
    <row r="147" spans="2:23" ht="31.2" customHeight="1" thickBot="1" x14ac:dyDescent="0.35">
      <c r="B147" s="17">
        <v>4</v>
      </c>
      <c r="C147" s="30" t="s">
        <v>130</v>
      </c>
      <c r="D147" s="11" t="s">
        <v>31</v>
      </c>
      <c r="E147" s="39">
        <v>0</v>
      </c>
      <c r="F147" s="52"/>
      <c r="G147" s="39">
        <f t="shared" si="22"/>
        <v>0</v>
      </c>
      <c r="H147" s="115"/>
      <c r="I147" s="44"/>
      <c r="J147" s="44"/>
      <c r="K147" s="45"/>
      <c r="V147">
        <v>697.58480000000009</v>
      </c>
      <c r="W147">
        <f t="shared" si="21"/>
        <v>753.39158400000019</v>
      </c>
    </row>
    <row r="148" spans="2:23" ht="31.2" customHeight="1" thickBot="1" x14ac:dyDescent="0.35">
      <c r="B148" s="17">
        <v>5</v>
      </c>
      <c r="C148" s="30" t="s">
        <v>214</v>
      </c>
      <c r="D148" s="11" t="s">
        <v>31</v>
      </c>
      <c r="E148" s="54">
        <v>51</v>
      </c>
      <c r="F148" s="133"/>
      <c r="G148" s="39">
        <f t="shared" si="22"/>
        <v>51</v>
      </c>
      <c r="H148" s="115"/>
      <c r="I148" s="44"/>
      <c r="J148" s="44"/>
      <c r="K148" s="45"/>
      <c r="V148">
        <v>829.19100000000003</v>
      </c>
      <c r="W148">
        <f t="shared" si="21"/>
        <v>895.52628000000004</v>
      </c>
    </row>
    <row r="149" spans="2:23" ht="31.2" customHeight="1" thickBot="1" x14ac:dyDescent="0.35">
      <c r="B149" s="253" t="s">
        <v>17</v>
      </c>
      <c r="C149" s="254"/>
      <c r="D149" s="16"/>
      <c r="E149" s="123"/>
      <c r="F149" s="47"/>
      <c r="G149" s="119"/>
      <c r="H149" s="181"/>
      <c r="I149" s="36"/>
      <c r="J149" s="36"/>
      <c r="K149" s="141"/>
      <c r="W149">
        <f t="shared" si="21"/>
        <v>0</v>
      </c>
    </row>
    <row r="150" spans="2:23" ht="31.2" customHeight="1" thickBot="1" x14ac:dyDescent="0.35">
      <c r="B150" s="107" t="s">
        <v>22</v>
      </c>
      <c r="C150" s="112" t="s">
        <v>131</v>
      </c>
      <c r="D150" s="113" t="s">
        <v>2</v>
      </c>
      <c r="E150" s="122" t="s">
        <v>3</v>
      </c>
      <c r="F150" s="114" t="s">
        <v>4</v>
      </c>
      <c r="G150" s="122" t="s">
        <v>5</v>
      </c>
      <c r="H150" s="175" t="s">
        <v>6</v>
      </c>
      <c r="I150" s="28" t="s">
        <v>7</v>
      </c>
      <c r="J150" s="29" t="s">
        <v>8</v>
      </c>
      <c r="K150" s="9" t="s">
        <v>9</v>
      </c>
      <c r="V150" t="s">
        <v>4</v>
      </c>
      <c r="W150" t="e">
        <f t="shared" si="21"/>
        <v>#VALUE!</v>
      </c>
    </row>
    <row r="151" spans="2:23" ht="31.2" customHeight="1" thickBot="1" x14ac:dyDescent="0.35">
      <c r="B151" s="17">
        <v>1</v>
      </c>
      <c r="C151" s="30" t="s">
        <v>132</v>
      </c>
      <c r="D151" s="11" t="s">
        <v>31</v>
      </c>
      <c r="E151" s="39">
        <f>E133+E135+E137+E141</f>
        <v>19</v>
      </c>
      <c r="F151" s="52"/>
      <c r="G151" s="39">
        <f>E151</f>
        <v>19</v>
      </c>
      <c r="H151" s="115"/>
      <c r="I151" s="44"/>
      <c r="J151" s="44"/>
      <c r="K151" s="45"/>
      <c r="V151">
        <v>1843.8310000000001</v>
      </c>
      <c r="W151">
        <f t="shared" si="21"/>
        <v>1991.3374800000004</v>
      </c>
    </row>
    <row r="152" spans="2:23" ht="31.2" customHeight="1" thickBot="1" x14ac:dyDescent="0.35">
      <c r="B152" s="17">
        <v>2</v>
      </c>
      <c r="C152" s="30" t="s">
        <v>133</v>
      </c>
      <c r="D152" s="11" t="s">
        <v>31</v>
      </c>
      <c r="E152" s="39">
        <f>E151*2</f>
        <v>38</v>
      </c>
      <c r="F152" s="52"/>
      <c r="G152" s="39">
        <f t="shared" ref="G152:G153" si="23">E152</f>
        <v>38</v>
      </c>
      <c r="H152" s="115"/>
      <c r="I152" s="44"/>
      <c r="J152" s="44"/>
      <c r="K152" s="45"/>
      <c r="V152">
        <v>1826.9570000000001</v>
      </c>
      <c r="W152">
        <f t="shared" si="21"/>
        <v>1973.1135600000002</v>
      </c>
    </row>
    <row r="153" spans="2:23" ht="31.2" customHeight="1" thickBot="1" x14ac:dyDescent="0.35">
      <c r="B153" s="17">
        <v>3</v>
      </c>
      <c r="C153" s="30" t="s">
        <v>134</v>
      </c>
      <c r="D153" s="11" t="s">
        <v>31</v>
      </c>
      <c r="E153" s="54">
        <f>E151+E152</f>
        <v>57</v>
      </c>
      <c r="F153" s="133"/>
      <c r="G153" s="39">
        <f t="shared" si="23"/>
        <v>57</v>
      </c>
      <c r="H153" s="115"/>
      <c r="I153" s="44"/>
      <c r="J153" s="44"/>
      <c r="K153" s="45"/>
      <c r="V153">
        <v>5.4890000000000008</v>
      </c>
      <c r="W153">
        <f t="shared" si="21"/>
        <v>5.9281200000000016</v>
      </c>
    </row>
    <row r="154" spans="2:23" ht="31.2" customHeight="1" thickBot="1" x14ac:dyDescent="0.35">
      <c r="B154" s="253" t="s">
        <v>17</v>
      </c>
      <c r="C154" s="254"/>
      <c r="D154" s="16"/>
      <c r="E154" s="123"/>
      <c r="F154" s="47"/>
      <c r="G154" s="119"/>
      <c r="H154" s="181"/>
      <c r="I154" s="36"/>
      <c r="J154" s="36"/>
      <c r="K154" s="141"/>
      <c r="W154">
        <f t="shared" si="21"/>
        <v>0</v>
      </c>
    </row>
    <row r="155" spans="2:23" ht="31.2" customHeight="1" thickBot="1" x14ac:dyDescent="0.35">
      <c r="B155" s="9" t="s">
        <v>135</v>
      </c>
      <c r="C155" s="10" t="s">
        <v>136</v>
      </c>
      <c r="D155" s="26" t="s">
        <v>2</v>
      </c>
      <c r="E155" s="120" t="s">
        <v>3</v>
      </c>
      <c r="F155" s="27" t="s">
        <v>4</v>
      </c>
      <c r="G155" s="120" t="s">
        <v>5</v>
      </c>
      <c r="H155" s="175" t="s">
        <v>6</v>
      </c>
      <c r="I155" s="28" t="s">
        <v>7</v>
      </c>
      <c r="J155" s="29" t="s">
        <v>8</v>
      </c>
      <c r="K155" s="9" t="s">
        <v>9</v>
      </c>
      <c r="V155" t="s">
        <v>4</v>
      </c>
      <c r="W155" t="e">
        <f t="shared" si="21"/>
        <v>#VALUE!</v>
      </c>
    </row>
    <row r="156" spans="2:23" ht="31.2" customHeight="1" thickBot="1" x14ac:dyDescent="0.35">
      <c r="B156" s="17">
        <v>1</v>
      </c>
      <c r="C156" s="30" t="s">
        <v>137</v>
      </c>
      <c r="D156" s="11" t="s">
        <v>31</v>
      </c>
      <c r="E156" s="39">
        <v>104</v>
      </c>
      <c r="F156" s="52"/>
      <c r="G156" s="39">
        <f>E156</f>
        <v>104</v>
      </c>
      <c r="H156" s="115"/>
      <c r="I156" s="44"/>
      <c r="J156" s="44"/>
      <c r="K156" s="45"/>
      <c r="V156">
        <v>1.3860000000000001</v>
      </c>
      <c r="W156">
        <f t="shared" si="21"/>
        <v>1.4968800000000002</v>
      </c>
    </row>
    <row r="157" spans="2:23" ht="31.2" customHeight="1" thickBot="1" x14ac:dyDescent="0.35">
      <c r="B157" s="33">
        <v>2</v>
      </c>
      <c r="C157" s="31" t="s">
        <v>138</v>
      </c>
      <c r="D157" s="32" t="s">
        <v>31</v>
      </c>
      <c r="E157" s="54">
        <v>713</v>
      </c>
      <c r="F157" s="52"/>
      <c r="G157" s="39">
        <f>E157</f>
        <v>713</v>
      </c>
      <c r="H157" s="115"/>
      <c r="I157" s="44"/>
      <c r="J157" s="44"/>
      <c r="K157" s="45"/>
      <c r="V157">
        <v>1.3860000000000001</v>
      </c>
      <c r="W157">
        <f t="shared" si="21"/>
        <v>1.4968800000000002</v>
      </c>
    </row>
    <row r="158" spans="2:23" ht="31.2" customHeight="1" thickBot="1" x14ac:dyDescent="0.35">
      <c r="B158" s="253" t="s">
        <v>17</v>
      </c>
      <c r="C158" s="254"/>
      <c r="D158" s="29"/>
      <c r="E158" s="123"/>
      <c r="F158" s="47"/>
      <c r="G158" s="119"/>
      <c r="H158" s="181"/>
      <c r="I158" s="36"/>
      <c r="J158" s="36"/>
      <c r="K158" s="25"/>
      <c r="W158">
        <f t="shared" si="21"/>
        <v>0</v>
      </c>
    </row>
    <row r="159" spans="2:23" ht="31.2" customHeight="1" thickBot="1" x14ac:dyDescent="0.35">
      <c r="B159" s="9" t="s">
        <v>139</v>
      </c>
      <c r="C159" s="10" t="s">
        <v>140</v>
      </c>
      <c r="D159" s="67" t="s">
        <v>2</v>
      </c>
      <c r="E159" s="125" t="s">
        <v>3</v>
      </c>
      <c r="F159" s="68" t="s">
        <v>4</v>
      </c>
      <c r="G159" s="125" t="s">
        <v>5</v>
      </c>
      <c r="H159" s="175" t="s">
        <v>6</v>
      </c>
      <c r="I159" s="28" t="s">
        <v>7</v>
      </c>
      <c r="J159" s="29" t="s">
        <v>8</v>
      </c>
      <c r="K159" s="9" t="s">
        <v>9</v>
      </c>
      <c r="V159" t="s">
        <v>4</v>
      </c>
      <c r="W159" t="e">
        <f t="shared" si="21"/>
        <v>#VALUE!</v>
      </c>
    </row>
    <row r="160" spans="2:23" ht="31.2" customHeight="1" x14ac:dyDescent="0.3">
      <c r="B160" s="69">
        <v>1</v>
      </c>
      <c r="C160" s="70" t="s">
        <v>213</v>
      </c>
      <c r="D160" s="71" t="s">
        <v>31</v>
      </c>
      <c r="E160" s="126">
        <v>1</v>
      </c>
      <c r="F160" s="72"/>
      <c r="G160" s="126">
        <f>E160</f>
        <v>1</v>
      </c>
      <c r="H160" s="182"/>
      <c r="I160" s="63"/>
      <c r="J160" s="63"/>
      <c r="K160" s="45"/>
      <c r="V160">
        <v>0</v>
      </c>
      <c r="W160">
        <f t="shared" si="21"/>
        <v>0</v>
      </c>
    </row>
    <row r="161" spans="2:23" ht="31.2" customHeight="1" thickBot="1" x14ac:dyDescent="0.35">
      <c r="B161" s="33">
        <v>2</v>
      </c>
      <c r="C161" s="73" t="s">
        <v>141</v>
      </c>
      <c r="D161" s="71" t="s">
        <v>31</v>
      </c>
      <c r="E161" s="126">
        <f>E141+E137+E135+E133</f>
        <v>19</v>
      </c>
      <c r="F161" s="72"/>
      <c r="G161" s="126">
        <f>E161</f>
        <v>19</v>
      </c>
      <c r="H161" s="182"/>
      <c r="I161" s="63"/>
      <c r="J161" s="63"/>
      <c r="K161" s="45"/>
      <c r="V161">
        <v>0</v>
      </c>
      <c r="W161">
        <f t="shared" si="21"/>
        <v>0</v>
      </c>
    </row>
    <row r="162" spans="2:23" ht="31.2" customHeight="1" thickBot="1" x14ac:dyDescent="0.35">
      <c r="B162" s="253" t="s">
        <v>17</v>
      </c>
      <c r="C162" s="254"/>
      <c r="D162" s="16"/>
      <c r="E162" s="119"/>
      <c r="F162" s="24"/>
      <c r="G162" s="119"/>
      <c r="H162" s="177"/>
      <c r="I162" s="36"/>
      <c r="J162" s="36"/>
      <c r="K162" s="25"/>
      <c r="W162">
        <f t="shared" si="21"/>
        <v>0</v>
      </c>
    </row>
    <row r="163" spans="2:23" ht="31.2" customHeight="1" thickBot="1" x14ac:dyDescent="0.35">
      <c r="B163" s="9" t="s">
        <v>142</v>
      </c>
      <c r="C163" s="10" t="s">
        <v>211</v>
      </c>
      <c r="D163" s="26" t="s">
        <v>2</v>
      </c>
      <c r="E163" s="120" t="s">
        <v>3</v>
      </c>
      <c r="F163" s="27" t="s">
        <v>4</v>
      </c>
      <c r="G163" s="120" t="s">
        <v>5</v>
      </c>
      <c r="H163" s="175" t="s">
        <v>6</v>
      </c>
      <c r="I163" s="149" t="s">
        <v>7</v>
      </c>
      <c r="J163" s="150" t="s">
        <v>8</v>
      </c>
      <c r="K163" s="142" t="s">
        <v>9</v>
      </c>
      <c r="V163" t="s">
        <v>4</v>
      </c>
      <c r="W163" t="e">
        <f t="shared" si="21"/>
        <v>#VALUE!</v>
      </c>
    </row>
    <row r="164" spans="2:23" ht="31.2" customHeight="1" thickBot="1" x14ac:dyDescent="0.35">
      <c r="B164" s="17">
        <v>1</v>
      </c>
      <c r="C164" s="74" t="s">
        <v>216</v>
      </c>
      <c r="D164" s="32" t="s">
        <v>114</v>
      </c>
      <c r="E164" s="39">
        <f>4+3</f>
        <v>7</v>
      </c>
      <c r="F164" s="75"/>
      <c r="G164" s="39">
        <f>E164</f>
        <v>7</v>
      </c>
      <c r="H164" s="183"/>
      <c r="I164" s="151"/>
      <c r="J164" s="151"/>
      <c r="K164" s="152"/>
      <c r="V164">
        <v>4167.3289999999997</v>
      </c>
      <c r="W164">
        <f t="shared" si="21"/>
        <v>4500.7153200000002</v>
      </c>
    </row>
    <row r="165" spans="2:23" ht="31.2" customHeight="1" thickBot="1" x14ac:dyDescent="0.35">
      <c r="B165" s="17">
        <v>2</v>
      </c>
      <c r="C165" s="74" t="s">
        <v>217</v>
      </c>
      <c r="D165" s="22" t="s">
        <v>114</v>
      </c>
      <c r="E165" s="39">
        <v>18</v>
      </c>
      <c r="F165" s="75"/>
      <c r="G165" s="39">
        <f t="shared" ref="G165:G175" si="24">E165</f>
        <v>18</v>
      </c>
      <c r="H165" s="183"/>
      <c r="I165" s="153"/>
      <c r="J165" s="153"/>
      <c r="K165" s="154"/>
      <c r="V165">
        <v>4167.3289999999997</v>
      </c>
      <c r="W165">
        <f t="shared" si="21"/>
        <v>4500.7153200000002</v>
      </c>
    </row>
    <row r="166" spans="2:23" ht="31.2" customHeight="1" thickBot="1" x14ac:dyDescent="0.35">
      <c r="B166" s="17">
        <v>3</v>
      </c>
      <c r="C166" s="74" t="s">
        <v>218</v>
      </c>
      <c r="D166" s="22" t="s">
        <v>114</v>
      </c>
      <c r="E166" s="39">
        <v>0</v>
      </c>
      <c r="F166" s="75"/>
      <c r="G166" s="39">
        <f t="shared" si="24"/>
        <v>0</v>
      </c>
      <c r="H166" s="183"/>
      <c r="I166" s="153"/>
      <c r="J166" s="153"/>
      <c r="K166" s="154"/>
      <c r="V166">
        <v>4167.3289999999997</v>
      </c>
      <c r="W166">
        <f t="shared" si="21"/>
        <v>4500.7153200000002</v>
      </c>
    </row>
    <row r="167" spans="2:23" ht="31.2" customHeight="1" thickBot="1" x14ac:dyDescent="0.35">
      <c r="B167" s="17">
        <v>4</v>
      </c>
      <c r="C167" s="76" t="s">
        <v>143</v>
      </c>
      <c r="D167" s="32" t="s">
        <v>144</v>
      </c>
      <c r="E167" s="39">
        <v>8</v>
      </c>
      <c r="F167" s="75"/>
      <c r="G167" s="39">
        <f t="shared" si="24"/>
        <v>8</v>
      </c>
      <c r="H167" s="183"/>
      <c r="I167" s="153"/>
      <c r="J167" s="153"/>
      <c r="K167" s="154"/>
      <c r="V167">
        <v>0</v>
      </c>
      <c r="W167">
        <f t="shared" si="21"/>
        <v>0</v>
      </c>
    </row>
    <row r="168" spans="2:23" ht="31.2" customHeight="1" thickBot="1" x14ac:dyDescent="0.35">
      <c r="B168" s="17">
        <v>5</v>
      </c>
      <c r="C168" s="77" t="s">
        <v>145</v>
      </c>
      <c r="D168" s="22" t="s">
        <v>114</v>
      </c>
      <c r="E168" s="39">
        <v>7</v>
      </c>
      <c r="F168" s="75"/>
      <c r="G168" s="39">
        <f t="shared" si="24"/>
        <v>7</v>
      </c>
      <c r="H168" s="183"/>
      <c r="I168" s="153"/>
      <c r="J168" s="153"/>
      <c r="K168" s="154"/>
      <c r="V168">
        <v>0</v>
      </c>
      <c r="W168">
        <f t="shared" si="21"/>
        <v>0</v>
      </c>
    </row>
    <row r="169" spans="2:23" ht="31.2" customHeight="1" thickBot="1" x14ac:dyDescent="0.35">
      <c r="B169" s="17">
        <v>6</v>
      </c>
      <c r="C169" s="74" t="s">
        <v>232</v>
      </c>
      <c r="D169" s="171" t="s">
        <v>228</v>
      </c>
      <c r="E169" s="120">
        <v>1</v>
      </c>
      <c r="F169" s="168">
        <v>350000</v>
      </c>
      <c r="G169" s="120">
        <v>1</v>
      </c>
      <c r="H169" s="168">
        <f>0.1*F169</f>
        <v>35000</v>
      </c>
      <c r="I169" s="153">
        <f t="shared" ref="I169" si="25">F169*E169</f>
        <v>350000</v>
      </c>
      <c r="J169" s="153">
        <f>H169*G169</f>
        <v>35000</v>
      </c>
      <c r="K169" s="151">
        <f>J169+I169</f>
        <v>385000</v>
      </c>
      <c r="V169">
        <v>236610</v>
      </c>
      <c r="W169">
        <f t="shared" si="21"/>
        <v>255538.80000000002</v>
      </c>
    </row>
    <row r="170" spans="2:23" ht="48.6" customHeight="1" thickBot="1" x14ac:dyDescent="0.35">
      <c r="B170" s="17">
        <v>7</v>
      </c>
      <c r="C170" s="146" t="s">
        <v>212</v>
      </c>
      <c r="D170" s="78" t="s">
        <v>144</v>
      </c>
      <c r="E170" s="39">
        <v>0</v>
      </c>
      <c r="F170" s="148"/>
      <c r="G170" s="39">
        <v>0</v>
      </c>
      <c r="H170" s="75"/>
      <c r="I170" s="153"/>
      <c r="J170" s="153"/>
      <c r="K170" s="154"/>
      <c r="V170">
        <v>8943</v>
      </c>
      <c r="W170">
        <f t="shared" si="21"/>
        <v>9658.44</v>
      </c>
    </row>
    <row r="171" spans="2:23" ht="48.6" customHeight="1" thickBot="1" x14ac:dyDescent="0.35">
      <c r="B171" s="143">
        <v>8</v>
      </c>
      <c r="C171" s="147" t="s">
        <v>233</v>
      </c>
      <c r="D171" s="171" t="s">
        <v>228</v>
      </c>
      <c r="E171" s="145">
        <v>0</v>
      </c>
      <c r="F171" s="148"/>
      <c r="G171" s="145">
        <v>0</v>
      </c>
      <c r="H171" s="148"/>
      <c r="I171" s="153"/>
      <c r="J171" s="153"/>
      <c r="K171" s="154"/>
      <c r="V171">
        <v>1966327</v>
      </c>
      <c r="W171">
        <f t="shared" si="21"/>
        <v>2123633.16</v>
      </c>
    </row>
    <row r="172" spans="2:23" ht="31.2" customHeight="1" thickBot="1" x14ac:dyDescent="0.35">
      <c r="B172" s="17">
        <v>9</v>
      </c>
      <c r="C172" s="30" t="s">
        <v>221</v>
      </c>
      <c r="D172" s="22" t="s">
        <v>26</v>
      </c>
      <c r="E172" s="39">
        <v>3000</v>
      </c>
      <c r="F172" s="15"/>
      <c r="G172" s="39">
        <f t="shared" si="24"/>
        <v>3000</v>
      </c>
      <c r="H172" s="75"/>
      <c r="I172" s="153"/>
      <c r="J172" s="153"/>
      <c r="K172" s="154"/>
      <c r="V172">
        <v>163.80000000000001</v>
      </c>
      <c r="W172">
        <f t="shared" si="21"/>
        <v>176.90400000000002</v>
      </c>
    </row>
    <row r="173" spans="2:23" ht="31.2" customHeight="1" thickBot="1" x14ac:dyDescent="0.35">
      <c r="B173" s="17">
        <v>10</v>
      </c>
      <c r="C173" s="30" t="s">
        <v>146</v>
      </c>
      <c r="D173" s="22" t="s">
        <v>26</v>
      </c>
      <c r="E173" s="39">
        <v>0</v>
      </c>
      <c r="F173" s="15"/>
      <c r="G173" s="39">
        <f t="shared" si="24"/>
        <v>0</v>
      </c>
      <c r="H173" s="75"/>
      <c r="I173" s="153"/>
      <c r="J173" s="153"/>
      <c r="K173" s="154"/>
      <c r="W173">
        <f t="shared" si="21"/>
        <v>0</v>
      </c>
    </row>
    <row r="174" spans="2:23" ht="31.2" customHeight="1" thickBot="1" x14ac:dyDescent="0.35">
      <c r="B174" s="17">
        <v>11</v>
      </c>
      <c r="C174" s="79" t="s">
        <v>222</v>
      </c>
      <c r="D174" s="80" t="s">
        <v>26</v>
      </c>
      <c r="E174" s="43">
        <v>0</v>
      </c>
      <c r="F174" s="144"/>
      <c r="G174" s="43">
        <v>1400</v>
      </c>
      <c r="H174" s="115"/>
      <c r="I174" s="153"/>
      <c r="J174" s="153"/>
      <c r="K174" s="154"/>
      <c r="V174">
        <v>0</v>
      </c>
      <c r="W174">
        <f t="shared" si="21"/>
        <v>0</v>
      </c>
    </row>
    <row r="175" spans="2:23" ht="31.2" customHeight="1" thickBot="1" x14ac:dyDescent="0.35">
      <c r="B175" s="17">
        <v>12</v>
      </c>
      <c r="C175" s="30" t="s">
        <v>147</v>
      </c>
      <c r="D175" s="22" t="s">
        <v>114</v>
      </c>
      <c r="E175" s="39">
        <v>57</v>
      </c>
      <c r="F175" s="144"/>
      <c r="G175" s="39">
        <f t="shared" si="24"/>
        <v>57</v>
      </c>
      <c r="H175" s="75"/>
      <c r="I175" s="153"/>
      <c r="J175" s="153"/>
      <c r="K175" s="154"/>
      <c r="V175">
        <v>491.82100000000003</v>
      </c>
      <c r="W175">
        <f t="shared" si="21"/>
        <v>531.16668000000004</v>
      </c>
    </row>
    <row r="176" spans="2:23" ht="31.2" customHeight="1" thickBot="1" x14ac:dyDescent="0.35">
      <c r="B176" s="17">
        <v>13</v>
      </c>
      <c r="C176" s="31" t="s">
        <v>148</v>
      </c>
      <c r="D176" s="22" t="s">
        <v>114</v>
      </c>
      <c r="E176" s="39">
        <v>0</v>
      </c>
      <c r="F176" s="15"/>
      <c r="G176" s="39">
        <f>E176</f>
        <v>0</v>
      </c>
      <c r="H176" s="75"/>
      <c r="I176" s="153"/>
      <c r="J176" s="153"/>
      <c r="K176" s="154"/>
      <c r="W176">
        <f>V176*$W$47</f>
        <v>0</v>
      </c>
    </row>
    <row r="177" spans="2:23" ht="31.2" customHeight="1" thickBot="1" x14ac:dyDescent="0.35">
      <c r="B177" s="253" t="s">
        <v>17</v>
      </c>
      <c r="C177" s="254"/>
      <c r="D177" s="29"/>
      <c r="E177" s="119"/>
      <c r="F177" s="24"/>
      <c r="G177" s="119"/>
      <c r="H177" s="174"/>
      <c r="I177" s="81"/>
      <c r="J177" s="81"/>
      <c r="K177" s="155"/>
      <c r="W177">
        <f t="shared" ref="W177:W190" si="26">V177*$W$47</f>
        <v>0</v>
      </c>
    </row>
    <row r="178" spans="2:23" ht="31.2" customHeight="1" thickBot="1" x14ac:dyDescent="0.35">
      <c r="B178" s="9" t="s">
        <v>149</v>
      </c>
      <c r="C178" s="10" t="s">
        <v>150</v>
      </c>
      <c r="D178" s="26" t="s">
        <v>2</v>
      </c>
      <c r="E178" s="120" t="s">
        <v>3</v>
      </c>
      <c r="F178" s="27" t="s">
        <v>4</v>
      </c>
      <c r="G178" s="120" t="s">
        <v>5</v>
      </c>
      <c r="H178" s="175" t="s">
        <v>6</v>
      </c>
      <c r="I178" s="28" t="s">
        <v>7</v>
      </c>
      <c r="J178" s="29" t="s">
        <v>8</v>
      </c>
      <c r="K178" s="9" t="s">
        <v>9</v>
      </c>
      <c r="V178" t="s">
        <v>4</v>
      </c>
      <c r="W178" t="e">
        <f t="shared" si="26"/>
        <v>#VALUE!</v>
      </c>
    </row>
    <row r="179" spans="2:23" ht="31.2" customHeight="1" thickBot="1" x14ac:dyDescent="0.35">
      <c r="B179" s="23">
        <v>1</v>
      </c>
      <c r="C179" s="55" t="s">
        <v>151</v>
      </c>
      <c r="D179" s="56" t="s">
        <v>114</v>
      </c>
      <c r="E179" s="118">
        <v>0</v>
      </c>
      <c r="F179" s="202"/>
      <c r="G179" s="127">
        <f>E179</f>
        <v>0</v>
      </c>
      <c r="H179" s="82"/>
      <c r="I179" s="83"/>
      <c r="J179" s="84"/>
      <c r="K179" s="85"/>
      <c r="W179">
        <f t="shared" si="26"/>
        <v>0</v>
      </c>
    </row>
    <row r="180" spans="2:23" ht="31.2" customHeight="1" thickBot="1" x14ac:dyDescent="0.35">
      <c r="B180" s="23">
        <v>2</v>
      </c>
      <c r="C180" s="55" t="s">
        <v>152</v>
      </c>
      <c r="D180" s="56" t="s">
        <v>114</v>
      </c>
      <c r="E180" s="199">
        <v>1009</v>
      </c>
      <c r="F180" s="115"/>
      <c r="G180" s="127">
        <f t="shared" ref="G180:G190" si="27">E180</f>
        <v>1009</v>
      </c>
      <c r="H180" s="82"/>
      <c r="I180" s="86"/>
      <c r="J180" s="86"/>
      <c r="K180" s="87"/>
      <c r="V180">
        <v>0</v>
      </c>
      <c r="W180">
        <f t="shared" si="26"/>
        <v>0</v>
      </c>
    </row>
    <row r="181" spans="2:23" ht="31.2" customHeight="1" thickBot="1" x14ac:dyDescent="0.35">
      <c r="B181" s="23">
        <v>3</v>
      </c>
      <c r="C181" s="55" t="s">
        <v>153</v>
      </c>
      <c r="D181" s="56" t="s">
        <v>114</v>
      </c>
      <c r="E181" s="199">
        <v>1009</v>
      </c>
      <c r="F181" s="75"/>
      <c r="G181" s="127">
        <f t="shared" si="27"/>
        <v>1009</v>
      </c>
      <c r="H181" s="82"/>
      <c r="I181" s="168"/>
      <c r="J181" s="168"/>
      <c r="K181" s="169"/>
      <c r="V181">
        <v>166.11099999999999</v>
      </c>
      <c r="W181">
        <f t="shared" si="26"/>
        <v>179.39988</v>
      </c>
    </row>
    <row r="182" spans="2:23" ht="51.6" customHeight="1" thickBot="1" x14ac:dyDescent="0.35">
      <c r="B182" s="23">
        <v>4</v>
      </c>
      <c r="C182" s="91" t="s">
        <v>223</v>
      </c>
      <c r="D182" s="90" t="s">
        <v>114</v>
      </c>
      <c r="E182" s="200">
        <v>1009</v>
      </c>
      <c r="F182" s="75"/>
      <c r="G182" s="128">
        <f>E182</f>
        <v>1009</v>
      </c>
      <c r="H182" s="92"/>
      <c r="I182" s="193"/>
      <c r="J182" s="193"/>
      <c r="K182" s="194"/>
      <c r="V182">
        <v>2453.6490000000003</v>
      </c>
      <c r="W182">
        <f t="shared" si="26"/>
        <v>2649.9409200000005</v>
      </c>
    </row>
    <row r="183" spans="2:23" ht="31.2" customHeight="1" thickBot="1" x14ac:dyDescent="0.35">
      <c r="B183" s="23">
        <v>5</v>
      </c>
      <c r="C183" s="91" t="s">
        <v>224</v>
      </c>
      <c r="D183" s="90" t="s">
        <v>114</v>
      </c>
      <c r="E183" s="200">
        <v>18</v>
      </c>
      <c r="F183" s="75"/>
      <c r="G183" s="128">
        <f>E183</f>
        <v>18</v>
      </c>
      <c r="H183" s="92"/>
      <c r="I183" s="193"/>
      <c r="J183" s="193"/>
      <c r="K183" s="194"/>
      <c r="V183">
        <v>19881</v>
      </c>
      <c r="W183">
        <f>V183*$W$47</f>
        <v>21471.480000000003</v>
      </c>
    </row>
    <row r="184" spans="2:23" ht="31.2" customHeight="1" thickBot="1" x14ac:dyDescent="0.35">
      <c r="B184" s="23">
        <v>6</v>
      </c>
      <c r="C184" s="91" t="s">
        <v>225</v>
      </c>
      <c r="D184" s="90" t="s">
        <v>114</v>
      </c>
      <c r="E184" s="200">
        <v>18</v>
      </c>
      <c r="F184" s="75"/>
      <c r="G184" s="128">
        <f>E184</f>
        <v>18</v>
      </c>
      <c r="H184" s="92"/>
      <c r="I184" s="193"/>
      <c r="J184" s="193"/>
      <c r="K184" s="194"/>
      <c r="V184">
        <v>14500</v>
      </c>
      <c r="W184">
        <f t="shared" si="26"/>
        <v>15660.000000000002</v>
      </c>
    </row>
    <row r="185" spans="2:23" ht="31.2" customHeight="1" thickBot="1" x14ac:dyDescent="0.35">
      <c r="B185" s="23">
        <v>7</v>
      </c>
      <c r="C185" s="93" t="s">
        <v>154</v>
      </c>
      <c r="D185" s="56" t="s">
        <v>114</v>
      </c>
      <c r="E185" s="199">
        <v>1009</v>
      </c>
      <c r="F185" s="148"/>
      <c r="G185" s="127">
        <f t="shared" si="27"/>
        <v>1009</v>
      </c>
      <c r="H185" s="82"/>
      <c r="I185" s="193"/>
      <c r="J185" s="193"/>
      <c r="K185" s="194"/>
      <c r="V185">
        <v>50</v>
      </c>
      <c r="W185">
        <f t="shared" si="26"/>
        <v>54</v>
      </c>
    </row>
    <row r="186" spans="2:23" ht="31.2" customHeight="1" thickBot="1" x14ac:dyDescent="0.35">
      <c r="B186" s="23">
        <v>8</v>
      </c>
      <c r="C186" s="62" t="s">
        <v>155</v>
      </c>
      <c r="D186" s="56" t="s">
        <v>114</v>
      </c>
      <c r="E186" s="199">
        <v>1009</v>
      </c>
      <c r="F186" s="148"/>
      <c r="G186" s="127">
        <f t="shared" si="27"/>
        <v>1009</v>
      </c>
      <c r="H186" s="82"/>
      <c r="I186" s="168"/>
      <c r="J186" s="168"/>
      <c r="K186" s="169"/>
      <c r="V186">
        <v>47.82</v>
      </c>
      <c r="W186">
        <f t="shared" si="26"/>
        <v>51.645600000000002</v>
      </c>
    </row>
    <row r="187" spans="2:23" ht="31.2" customHeight="1" thickBot="1" x14ac:dyDescent="0.35">
      <c r="B187" s="23">
        <v>9</v>
      </c>
      <c r="C187" s="55" t="s">
        <v>156</v>
      </c>
      <c r="D187" s="56" t="s">
        <v>114</v>
      </c>
      <c r="E187" s="199">
        <v>0</v>
      </c>
      <c r="F187" s="148"/>
      <c r="G187" s="127">
        <f t="shared" si="27"/>
        <v>0</v>
      </c>
      <c r="H187" s="82"/>
      <c r="I187" s="168"/>
      <c r="J187" s="168"/>
      <c r="K187" s="169"/>
      <c r="W187">
        <f t="shared" si="26"/>
        <v>0</v>
      </c>
    </row>
    <row r="188" spans="2:23" ht="31.2" customHeight="1" thickBot="1" x14ac:dyDescent="0.35">
      <c r="B188" s="23">
        <v>10</v>
      </c>
      <c r="C188" s="93" t="s">
        <v>157</v>
      </c>
      <c r="D188" s="56" t="s">
        <v>114</v>
      </c>
      <c r="E188" s="199">
        <v>0</v>
      </c>
      <c r="F188" s="148"/>
      <c r="G188" s="127">
        <f t="shared" si="27"/>
        <v>0</v>
      </c>
      <c r="H188" s="82"/>
      <c r="I188" s="168"/>
      <c r="J188" s="168"/>
      <c r="K188" s="169"/>
      <c r="W188">
        <f t="shared" si="26"/>
        <v>0</v>
      </c>
    </row>
    <row r="189" spans="2:23" ht="31.2" customHeight="1" thickBot="1" x14ac:dyDescent="0.35">
      <c r="B189" s="23">
        <v>11</v>
      </c>
      <c r="C189" s="30" t="s">
        <v>178</v>
      </c>
      <c r="D189" s="11" t="s">
        <v>114</v>
      </c>
      <c r="E189" s="201">
        <v>1009</v>
      </c>
      <c r="F189" s="75"/>
      <c r="G189" s="127">
        <f t="shared" si="27"/>
        <v>1009</v>
      </c>
      <c r="H189" s="82"/>
      <c r="I189" s="168"/>
      <c r="J189" s="168"/>
      <c r="K189" s="169"/>
      <c r="V189">
        <v>410.245</v>
      </c>
      <c r="W189">
        <f t="shared" si="26"/>
        <v>443.06460000000004</v>
      </c>
    </row>
    <row r="190" spans="2:23" s="170" customFormat="1" ht="43.2" customHeight="1" thickBot="1" x14ac:dyDescent="0.35">
      <c r="B190" s="23">
        <v>12</v>
      </c>
      <c r="C190" s="38" t="s">
        <v>158</v>
      </c>
      <c r="D190" s="14" t="s">
        <v>114</v>
      </c>
      <c r="E190" s="201">
        <f>E180</f>
        <v>1009</v>
      </c>
      <c r="F190" s="148"/>
      <c r="G190" s="127">
        <f t="shared" si="27"/>
        <v>1009</v>
      </c>
      <c r="H190" s="82"/>
      <c r="I190" s="168"/>
      <c r="J190" s="168"/>
      <c r="K190" s="169"/>
      <c r="V190" s="170">
        <v>180</v>
      </c>
      <c r="W190" s="170">
        <f t="shared" si="26"/>
        <v>194.4</v>
      </c>
    </row>
    <row r="191" spans="2:23" ht="31.2" customHeight="1" thickBot="1" x14ac:dyDescent="0.35">
      <c r="B191" s="253" t="s">
        <v>17</v>
      </c>
      <c r="C191" s="254"/>
      <c r="D191" s="16"/>
      <c r="E191" s="119"/>
      <c r="F191" s="24"/>
      <c r="G191" s="119"/>
      <c r="H191" s="174"/>
      <c r="I191" s="36"/>
      <c r="J191" s="36"/>
      <c r="K191" s="25"/>
    </row>
    <row r="192" spans="2:23" ht="31.2" customHeight="1" thickBot="1" x14ac:dyDescent="0.35">
      <c r="B192" s="107" t="s">
        <v>159</v>
      </c>
      <c r="C192" s="112" t="s">
        <v>246</v>
      </c>
      <c r="D192" s="113" t="s">
        <v>2</v>
      </c>
      <c r="E192" s="122" t="s">
        <v>3</v>
      </c>
      <c r="F192" s="114" t="s">
        <v>4</v>
      </c>
      <c r="G192" s="122" t="s">
        <v>5</v>
      </c>
      <c r="H192" s="176" t="s">
        <v>6</v>
      </c>
      <c r="I192" s="28" t="s">
        <v>7</v>
      </c>
      <c r="J192" s="29" t="s">
        <v>8</v>
      </c>
      <c r="K192" s="107" t="s">
        <v>9</v>
      </c>
    </row>
    <row r="193" spans="2:11" ht="31.2" customHeight="1" thickBot="1" x14ac:dyDescent="0.35">
      <c r="B193" s="17" t="s">
        <v>29</v>
      </c>
      <c r="C193" s="30" t="s">
        <v>161</v>
      </c>
      <c r="D193" s="11" t="s">
        <v>31</v>
      </c>
      <c r="E193" s="39">
        <v>404</v>
      </c>
      <c r="F193" s="15"/>
      <c r="G193" s="39">
        <f>E193</f>
        <v>404</v>
      </c>
      <c r="H193" s="115"/>
      <c r="I193" s="44"/>
      <c r="J193" s="44"/>
      <c r="K193" s="45"/>
    </row>
    <row r="194" spans="2:11" ht="31.2" customHeight="1" thickBot="1" x14ac:dyDescent="0.35">
      <c r="B194" s="17" t="s">
        <v>32</v>
      </c>
      <c r="C194" s="30" t="s">
        <v>33</v>
      </c>
      <c r="D194" s="11" t="s">
        <v>31</v>
      </c>
      <c r="E194" s="39">
        <v>0</v>
      </c>
      <c r="F194" s="15"/>
      <c r="G194" s="39">
        <f>E194</f>
        <v>0</v>
      </c>
      <c r="H194" s="115"/>
      <c r="I194" s="44"/>
      <c r="J194" s="44"/>
      <c r="K194" s="45"/>
    </row>
    <row r="195" spans="2:11" ht="31.2" customHeight="1" thickBot="1" x14ac:dyDescent="0.35">
      <c r="B195" s="17" t="s">
        <v>34</v>
      </c>
      <c r="C195" s="30" t="s">
        <v>35</v>
      </c>
      <c r="D195" s="11" t="s">
        <v>31</v>
      </c>
      <c r="E195" s="39">
        <v>0</v>
      </c>
      <c r="F195" s="15"/>
      <c r="G195" s="39">
        <v>0</v>
      </c>
      <c r="H195" s="173"/>
      <c r="I195" s="134"/>
      <c r="J195" s="134"/>
      <c r="K195" s="135"/>
    </row>
    <row r="196" spans="2:11" ht="31.2" customHeight="1" thickBot="1" x14ac:dyDescent="0.35">
      <c r="B196" s="17">
        <v>2</v>
      </c>
      <c r="C196" s="31" t="s">
        <v>35</v>
      </c>
      <c r="D196" s="11" t="s">
        <v>31</v>
      </c>
      <c r="E196" s="54">
        <v>0</v>
      </c>
      <c r="F196" s="57"/>
      <c r="G196" s="39">
        <v>0</v>
      </c>
      <c r="H196" s="184"/>
      <c r="I196" s="134"/>
      <c r="J196" s="134"/>
      <c r="K196" s="135"/>
    </row>
    <row r="197" spans="2:11" ht="31.2" customHeight="1" thickBot="1" x14ac:dyDescent="0.35">
      <c r="B197" s="17">
        <v>3</v>
      </c>
      <c r="C197" s="94" t="s">
        <v>162</v>
      </c>
      <c r="D197" s="11" t="s">
        <v>26</v>
      </c>
      <c r="E197" s="129">
        <v>0</v>
      </c>
      <c r="F197" s="95"/>
      <c r="G197" s="54">
        <v>0</v>
      </c>
      <c r="H197" s="185"/>
      <c r="I197" s="134"/>
      <c r="J197" s="134"/>
      <c r="K197" s="135"/>
    </row>
    <row r="198" spans="2:11" ht="31.2" customHeight="1" thickBot="1" x14ac:dyDescent="0.35">
      <c r="B198" s="17">
        <v>4</v>
      </c>
      <c r="C198" s="61" t="s">
        <v>163</v>
      </c>
      <c r="D198" s="11" t="s">
        <v>26</v>
      </c>
      <c r="E198" s="129">
        <v>0</v>
      </c>
      <c r="F198" s="15"/>
      <c r="G198" s="129">
        <v>0</v>
      </c>
      <c r="H198" s="173"/>
      <c r="I198" s="134"/>
      <c r="J198" s="134"/>
      <c r="K198" s="135"/>
    </row>
    <row r="199" spans="2:11" ht="31.2" customHeight="1" thickBot="1" x14ac:dyDescent="0.35">
      <c r="B199" s="17">
        <v>5</v>
      </c>
      <c r="C199" s="61" t="s">
        <v>164</v>
      </c>
      <c r="D199" s="11" t="s">
        <v>26</v>
      </c>
      <c r="E199" s="130">
        <v>0</v>
      </c>
      <c r="F199" s="15"/>
      <c r="G199" s="130">
        <v>0</v>
      </c>
      <c r="H199" s="173"/>
      <c r="I199" s="134"/>
      <c r="J199" s="134"/>
      <c r="K199" s="135"/>
    </row>
    <row r="200" spans="2:11" ht="31.2" customHeight="1" thickBot="1" x14ac:dyDescent="0.35">
      <c r="B200" s="253" t="s">
        <v>17</v>
      </c>
      <c r="C200" s="254"/>
      <c r="D200" s="16"/>
      <c r="E200" s="119"/>
      <c r="F200" s="24"/>
      <c r="G200" s="119"/>
      <c r="H200" s="174"/>
      <c r="I200" s="36"/>
      <c r="J200" s="36"/>
      <c r="K200" s="141"/>
    </row>
    <row r="201" spans="2:11" ht="31.2" customHeight="1" thickBot="1" x14ac:dyDescent="0.35">
      <c r="B201" s="9" t="s">
        <v>165</v>
      </c>
      <c r="C201" s="10" t="s">
        <v>166</v>
      </c>
      <c r="D201" s="26" t="s">
        <v>2</v>
      </c>
      <c r="E201" s="120" t="s">
        <v>3</v>
      </c>
      <c r="F201" s="27" t="s">
        <v>4</v>
      </c>
      <c r="G201" s="120" t="s">
        <v>5</v>
      </c>
      <c r="H201" s="175" t="s">
        <v>6</v>
      </c>
      <c r="I201" s="28" t="s">
        <v>7</v>
      </c>
      <c r="J201" s="29" t="s">
        <v>8</v>
      </c>
      <c r="K201" s="9" t="s">
        <v>9</v>
      </c>
    </row>
    <row r="202" spans="2:11" ht="31.2" customHeight="1" thickBot="1" x14ac:dyDescent="0.35">
      <c r="B202" s="17">
        <v>1</v>
      </c>
      <c r="C202" s="96" t="s">
        <v>167</v>
      </c>
      <c r="D202" s="11" t="s">
        <v>26</v>
      </c>
      <c r="E202" s="39">
        <v>0</v>
      </c>
      <c r="F202" s="15"/>
      <c r="G202" s="39">
        <v>0</v>
      </c>
      <c r="H202" s="173"/>
      <c r="I202" s="63"/>
      <c r="J202" s="63"/>
      <c r="K202" s="100"/>
    </row>
    <row r="203" spans="2:11" ht="31.2" customHeight="1" thickBot="1" x14ac:dyDescent="0.35">
      <c r="B203" s="88">
        <v>2</v>
      </c>
      <c r="C203" s="97" t="s">
        <v>220</v>
      </c>
      <c r="D203" s="89" t="s">
        <v>26</v>
      </c>
      <c r="E203" s="98">
        <f>45*1009</f>
        <v>45405</v>
      </c>
      <c r="F203" s="99"/>
      <c r="G203" s="39">
        <f>E203</f>
        <v>45405</v>
      </c>
      <c r="H203" s="186"/>
      <c r="I203" s="63"/>
      <c r="J203" s="63"/>
      <c r="K203" s="100"/>
    </row>
    <row r="204" spans="2:11" ht="31.2" customHeight="1" thickBot="1" x14ac:dyDescent="0.35">
      <c r="B204" s="253" t="s">
        <v>17</v>
      </c>
      <c r="C204" s="254"/>
      <c r="D204" s="29"/>
      <c r="E204" s="131"/>
      <c r="F204" s="47"/>
      <c r="G204" s="131"/>
      <c r="H204" s="177"/>
      <c r="I204" s="36"/>
      <c r="J204" s="36"/>
      <c r="K204" s="141"/>
    </row>
    <row r="205" spans="2:11" x14ac:dyDescent="0.3">
      <c r="B205" s="1"/>
    </row>
  </sheetData>
  <mergeCells count="20">
    <mergeCell ref="B127:C127"/>
    <mergeCell ref="B142:C142"/>
    <mergeCell ref="B162:C162"/>
    <mergeCell ref="B87:C87"/>
    <mergeCell ref="B92:C92"/>
    <mergeCell ref="B103:C103"/>
    <mergeCell ref="B109:C109"/>
    <mergeCell ref="B113:C113"/>
    <mergeCell ref="B204:C204"/>
    <mergeCell ref="B149:C149"/>
    <mergeCell ref="B154:C154"/>
    <mergeCell ref="B158:C158"/>
    <mergeCell ref="B177:C177"/>
    <mergeCell ref="B191:C191"/>
    <mergeCell ref="B200:C200"/>
    <mergeCell ref="B18:C18"/>
    <mergeCell ref="B24:C24"/>
    <mergeCell ref="B46:C46"/>
    <mergeCell ref="B57:C57"/>
    <mergeCell ref="B2:K2"/>
  </mergeCells>
  <pageMargins left="0.7" right="0.7" top="0.75" bottom="0.75" header="0.3" footer="0.3"/>
  <pageSetup paperSize="9" scale="43" orientation="portrait" r:id="rId1"/>
  <rowBreaks count="5" manualBreakCount="5">
    <brk id="46" min="1" max="10" man="1"/>
    <brk id="87" min="1" max="10" man="1"/>
    <brk id="127" min="1" max="10" man="1"/>
    <brk id="149" min="1" max="10" man="1"/>
    <brk id="191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 </vt:lpstr>
      <vt:lpstr>BOQ</vt:lpstr>
      <vt:lpstr>BOQ!Print_Area</vt:lpstr>
      <vt:lpstr>'SUMMARY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 Masala</dc:creator>
  <cp:lastModifiedBy>Victor MUSHAVA</cp:lastModifiedBy>
  <cp:lastPrinted>2025-03-27T09:05:44Z</cp:lastPrinted>
  <dcterms:created xsi:type="dcterms:W3CDTF">2018-05-30T20:05:52Z</dcterms:created>
  <dcterms:modified xsi:type="dcterms:W3CDTF">2025-04-13T17:08:31Z</dcterms:modified>
</cp:coreProperties>
</file>